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officeDocument/2006/relationships/custom-properties" Target="/docProps/custom.xml" Id="Reec339ef278242dc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" yWindow="-12" windowWidth="7680" windowHeight="8988" tabRatio="590" firstSheet="4" activeTab="5"/>
  </bookViews>
  <sheets>
    <sheet name="П 1.13 2016 расчет " sheetId="176" state="hidden" r:id="rId1"/>
    <sheet name="Выпад.дох.за 2015г.в тар.2017" sheetId="149" state="hidden" r:id="rId2"/>
    <sheet name="П.2.1." sheetId="6" state="hidden" r:id="rId3"/>
    <sheet name="П.2.2." sheetId="5" state="hidden" r:id="rId4"/>
    <sheet name="Баланс электрической энергии" sheetId="31" r:id="rId5"/>
    <sheet name="Баланс электрической мощности" sheetId="32" r:id="rId6"/>
    <sheet name="НВВ на содержание 2012г." sheetId="135" state="hidden" r:id="rId7"/>
    <sheet name="Реестр всп.мат.2010 пром.+ПСХ" sheetId="95" state="hidden" r:id="rId8"/>
    <sheet name="Реестр вспомог.мат.2011 ПСХ" sheetId="115" state="hidden" r:id="rId9"/>
    <sheet name="Работы и услуги 2011г." sheetId="64" state="hidden" r:id="rId10"/>
    <sheet name="РСЭО 2012г." sheetId="96" state="hidden" r:id="rId11"/>
    <sheet name="Распред.приб. на соц.разв.2011" sheetId="62" state="hidden" r:id="rId12"/>
    <sheet name="П 1.17 цех." sheetId="76" state="hidden" r:id="rId13"/>
    <sheet name="Амортизация цех10г. - 11г." sheetId="97" state="hidden" r:id="rId14"/>
    <sheet name="П 1.17 ОХР" sheetId="65" state="hidden" r:id="rId15"/>
    <sheet name="1 И 2 ПОЛУГОДИЕ 2012" sheetId="126" state="hidden" r:id="rId16"/>
    <sheet name="2012" sheetId="125" state="hidden" r:id="rId17"/>
    <sheet name="1п-е 2012" sheetId="127" state="hidden" r:id="rId18"/>
    <sheet name="2п-е 2012" sheetId="128" state="hidden" r:id="rId19"/>
    <sheet name="2012 год" sheetId="129" state="hidden" r:id="rId20"/>
    <sheet name="НВВ на содержание" sheetId="103" state="hidden" r:id="rId21"/>
    <sheet name="послед2012г.об.по стр-ре СЭ (2)" sheetId="124" state="hidden" r:id="rId22"/>
    <sheet name="12г.Бал.уточ.Энерг+подсобн.хоз." sheetId="112" state="hidden" r:id="rId23"/>
    <sheet name="Прилож.1-2012г." sheetId="114" state="hidden" r:id="rId24"/>
    <sheet name="2012 Баланс  " sheetId="87" state="hidden" r:id="rId25"/>
    <sheet name="стр-ра пол.отп. 2012г.июнь" sheetId="113" state="hidden" r:id="rId26"/>
    <sheet name="П1.30 - 07.06.11г." sheetId="99" state="hidden" r:id="rId27"/>
    <sheet name="С-Э и сет.расч.инд.межсет.2011" sheetId="79" state="hidden" r:id="rId28"/>
    <sheet name="изм.приказ 27 от 28.04.2011" sheetId="121" state="hidden" r:id="rId29"/>
    <sheet name="2012г.об.по стр-ре СЭ" sheetId="123" state="hidden" r:id="rId30"/>
    <sheet name="2012г.об.под факт2010" sheetId="122" state="hidden" r:id="rId31"/>
    <sheet name="пл.об расч.по инд.межсет.та (2)" sheetId="120" state="hidden" r:id="rId32"/>
    <sheet name="пл.об расч.по инд.межсет.тар.11" sheetId="80" state="hidden" r:id="rId33"/>
    <sheet name="УГРКЭ об.конрасч.по инд.межсет." sheetId="119" state="hidden" r:id="rId34"/>
    <sheet name="Прилож.2 структура 2011г.-2012г" sheetId="118" state="hidden" r:id="rId35"/>
    <sheet name="орг. Корр-ка НВВ 2014г." sheetId="130" state="hidden" r:id="rId36"/>
    <sheet name="П.2.1. утв.2015" sheetId="172" state="hidden" r:id="rId37"/>
    <sheet name="П.2.2.утв.2015" sheetId="173" state="hidden" r:id="rId38"/>
    <sheet name="1 И 2 ПОЛУГОДИЕ 2012 (2)" sheetId="170" state="hidden" r:id="rId39"/>
  </sheets>
  <externalReferences>
    <externalReference r:id="rId40"/>
    <externalReference r:id="rId41"/>
  </externalReferences>
  <definedNames>
    <definedName name="___nt1" localSheetId="0">#REF!</definedName>
    <definedName name="___nt1">#REF!</definedName>
    <definedName name="___nt2" localSheetId="0">#REF!</definedName>
    <definedName name="___nt2">#REF!</definedName>
    <definedName name="___nt3" localSheetId="0">#REF!</definedName>
    <definedName name="___nt3">#REF!</definedName>
    <definedName name="___nt4" localSheetId="0">#REF!</definedName>
    <definedName name="___nt4">#REF!</definedName>
    <definedName name="___nt5" localSheetId="0">#REF!</definedName>
    <definedName name="___nt5">#REF!</definedName>
    <definedName name="___nt6" localSheetId="0">#REF!</definedName>
    <definedName name="___nt6">#REF!</definedName>
    <definedName name="___nt7" localSheetId="0">#REF!</definedName>
    <definedName name="___nt7">#REF!</definedName>
    <definedName name="___nt8" localSheetId="0">#REF!</definedName>
    <definedName name="___nt8">#REF!</definedName>
    <definedName name="___nt9" localSheetId="0">#REF!</definedName>
    <definedName name="___nt9">#REF!</definedName>
    <definedName name="___tt5" localSheetId="0">#REF!</definedName>
    <definedName name="___tt5">#REF!</definedName>
    <definedName name="___tt6" localSheetId="0">#REF!</definedName>
    <definedName name="___tt6">#REF!</definedName>
    <definedName name="___ttt5" localSheetId="0">#REF!</definedName>
    <definedName name="___ttt5">#REF!</definedName>
    <definedName name="___zt2" localSheetId="0">#REF!</definedName>
    <definedName name="___zt2">#REF!</definedName>
    <definedName name="___zt3" localSheetId="0">#REF!</definedName>
    <definedName name="___zt3">#REF!</definedName>
    <definedName name="___zt4" localSheetId="0">#REF!</definedName>
    <definedName name="___zt4">#REF!</definedName>
    <definedName name="___zt5" localSheetId="0">#REF!</definedName>
    <definedName name="___zt5">#REF!</definedName>
    <definedName name="___zt51" localSheetId="0">#REF!</definedName>
    <definedName name="___zt51">#REF!</definedName>
    <definedName name="___zt6" localSheetId="0">#REF!</definedName>
    <definedName name="___zt6">#REF!</definedName>
    <definedName name="___zt7" localSheetId="0">#REF!</definedName>
    <definedName name="___zt7">#REF!</definedName>
    <definedName name="___zt8" localSheetId="0">#REF!</definedName>
    <definedName name="___zt8">#REF!</definedName>
    <definedName name="__zt9">[1]s!$B$5</definedName>
    <definedName name="_nt1" localSheetId="0">#REF!</definedName>
    <definedName name="_nt1">#REF!</definedName>
    <definedName name="_nt2" localSheetId="0">#REF!</definedName>
    <definedName name="_nt2">#REF!</definedName>
    <definedName name="_nt3" localSheetId="0">#REF!</definedName>
    <definedName name="_nt3">#REF!</definedName>
    <definedName name="_nt4" localSheetId="0">#REF!</definedName>
    <definedName name="_nt4">#REF!</definedName>
    <definedName name="_nt5" localSheetId="0">#REF!</definedName>
    <definedName name="_nt5">#REF!</definedName>
    <definedName name="_nt6" localSheetId="0">#REF!</definedName>
    <definedName name="_nt6">#REF!</definedName>
    <definedName name="_nt7" localSheetId="0">#REF!</definedName>
    <definedName name="_nt7">#REF!</definedName>
    <definedName name="_nt8" localSheetId="0">#REF!</definedName>
    <definedName name="_nt8">#REF!</definedName>
    <definedName name="_nt9" localSheetId="0">#REF!</definedName>
    <definedName name="_nt9">#REF!</definedName>
    <definedName name="_tt5" localSheetId="0">#REF!</definedName>
    <definedName name="_tt5">#REF!</definedName>
    <definedName name="_tt6" localSheetId="0">#REF!</definedName>
    <definedName name="_tt6">#REF!</definedName>
    <definedName name="_ttt5" localSheetId="0">#REF!</definedName>
    <definedName name="_ttt5">#REF!</definedName>
    <definedName name="_zt2" localSheetId="0">#REF!</definedName>
    <definedName name="_zt2">#REF!</definedName>
    <definedName name="_zt3" localSheetId="0">#REF!</definedName>
    <definedName name="_zt3">#REF!</definedName>
    <definedName name="_zt4" localSheetId="0">#REF!</definedName>
    <definedName name="_zt4">#REF!</definedName>
    <definedName name="_zt5" localSheetId="0">#REF!</definedName>
    <definedName name="_zt5">#REF!</definedName>
    <definedName name="_zt51" localSheetId="0">#REF!</definedName>
    <definedName name="_zt51">#REF!</definedName>
    <definedName name="_zt6" localSheetId="0">#REF!</definedName>
    <definedName name="_zt6">#REF!</definedName>
    <definedName name="_zt7" localSheetId="0">#REF!</definedName>
    <definedName name="_zt7">#REF!</definedName>
    <definedName name="_zt8" localSheetId="0">#REF!</definedName>
    <definedName name="_zt8">#REF!</definedName>
    <definedName name="_zt9">[2]s!$B$5</definedName>
    <definedName name="AccessDatabase" hidden="1">"C:\My Documents\vlad\Var_2\can270398v2t05.mdb"</definedName>
    <definedName name="afrn" localSheetId="15" hidden="1">{#N/A,#N/A,FALSE,"общепр.расх"}</definedName>
    <definedName name="afrn" localSheetId="38" hidden="1">{#N/A,#N/A,FALSE,"общепр.расх"}</definedName>
    <definedName name="afrn" localSheetId="1" hidden="1">{#N/A,#N/A,FALSE,"общепр.расх"}</definedName>
    <definedName name="afrn" localSheetId="28" hidden="1">{#N/A,#N/A,FALSE,"общепр.расх"}</definedName>
    <definedName name="afrn" localSheetId="35" hidden="1">{#N/A,#N/A,FALSE,"общепр.расх"}</definedName>
    <definedName name="afrn" hidden="1">{#N/A,#N/A,FALSE,"общепр.расх"}</definedName>
    <definedName name="anscount" hidden="1">1</definedName>
    <definedName name="Excel_BuiltIn_Print_Area">#REF!</definedName>
    <definedName name="ggg" localSheetId="0">#REF!</definedName>
    <definedName name="ggg">#REF!</definedName>
    <definedName name="hhh" localSheetId="0">#REF!</definedName>
    <definedName name="hhh">#REF!</definedName>
    <definedName name="hklhkf" localSheetId="0">#REF!</definedName>
    <definedName name="hklhkf">#REF!</definedName>
    <definedName name="jjj" localSheetId="0">[1]s!#REF!</definedName>
    <definedName name="jjj">[1]s!#REF!</definedName>
    <definedName name="limcount" hidden="1">1</definedName>
    <definedName name="nt5_1" localSheetId="0">#REF!</definedName>
    <definedName name="nt5_1">#REF!</definedName>
    <definedName name="SCOPE_16_PRT" localSheetId="38">P1_SCOPE_16_PRT,P2_SCOPE_16_PRT</definedName>
    <definedName name="SCOPE_16_PRT" localSheetId="0">P1_SCOPE_16_PRT,P2_SCOPE_16_PRT</definedName>
    <definedName name="SCOPE_16_PRT">P1_SCOPE_16_PRT,P2_SCOPE_16_PRT</definedName>
    <definedName name="SCOPE_PER_PRT" localSheetId="38">P5_SCOPE_PER_PRT,P6_SCOPE_PER_PRT,P7_SCOPE_PER_PRT,P8_SCOPE_PER_PRT</definedName>
    <definedName name="SCOPE_PER_PRT" localSheetId="0">P5_SCOPE_PER_PRT,P6_SCOPE_PER_PRT,P7_SCOPE_PER_PRT,P8_SCOPE_PER_PRT</definedName>
    <definedName name="SCOPE_PER_PRT">P5_SCOPE_PER_PRT,P6_SCOPE_PER_PRT,P7_SCOPE_PER_PRT,P8_SCOPE_PER_PRT</definedName>
    <definedName name="SCOPE_SV_PRT" localSheetId="38">P1_SCOPE_SV_PRT,P2_SCOPE_SV_PRT,P3_SCOPE_SV_PRT</definedName>
    <definedName name="SCOPE_SV_PRT" localSheetId="0">P1_SCOPE_SV_PRT,P2_SCOPE_SV_PRT,P3_SCOPE_SV_PRT</definedName>
    <definedName name="SCOPE_SV_PRT">P1_SCOPE_SV_PRT,P2_SCOPE_SV_PRT,P3_SCOPE_SV_PRT</definedName>
    <definedName name="sencount" hidden="1">1</definedName>
    <definedName name="T2_DiapProt" localSheetId="38">P1_T2_DiapProt,P2_T2_DiapProt</definedName>
    <definedName name="T2_DiapProt" localSheetId="0">P1_T2_DiapProt,P2_T2_DiapProt</definedName>
    <definedName name="T2_DiapProt">P1_T2_DiapProt,P2_T2_DiapProt</definedName>
    <definedName name="T6_Protect" localSheetId="38">P1_T6_Protect,P2_T6_Protect</definedName>
    <definedName name="T6_Protect" localSheetId="0">P1_T6_Protect,P2_T6_Protect</definedName>
    <definedName name="T6_Protect">P1_T6_Protect,P2_T6_Protect</definedName>
    <definedName name="wrn.План" localSheetId="15" hidden="1">{"Прибыль пресс",#N/A,FALSE,"Прессов"}</definedName>
    <definedName name="wrn.План" localSheetId="38" hidden="1">{"Прибыль пресс",#N/A,FALSE,"Прессов"}</definedName>
    <definedName name="wrn.План" localSheetId="1" hidden="1">{"Прибыль пресс",#N/A,FALSE,"Прессов"}</definedName>
    <definedName name="wrn.План" localSheetId="28" hidden="1">{"Прибыль пресс",#N/A,FALSE,"Прессов"}</definedName>
    <definedName name="wrn.План" localSheetId="35" hidden="1">{"Прибыль пресс",#N/A,FALSE,"Прессов"}</definedName>
    <definedName name="wrn.План" hidden="1">{"Прибыль пресс",#N/A,FALSE,"Прессов"}</definedName>
    <definedName name="wrn.Прибыль._.дерев." localSheetId="15" hidden="1">{"Прибыль дерев",#N/A,FALSE,"Дерев"}</definedName>
    <definedName name="wrn.Прибыль._.дерев." localSheetId="38" hidden="1">{"Прибыль дерев",#N/A,FALSE,"Дерев"}</definedName>
    <definedName name="wrn.Прибыль._.дерев." localSheetId="1" hidden="1">{"Прибыль дерев",#N/A,FALSE,"Дерев"}</definedName>
    <definedName name="wrn.Прибыль._.дерев." localSheetId="28" hidden="1">{"Прибыль дерев",#N/A,FALSE,"Дерев"}</definedName>
    <definedName name="wrn.Прибыль._.дерев." localSheetId="35" hidden="1">{"Прибыль дерев",#N/A,FALSE,"Дерев"}</definedName>
    <definedName name="wrn.Прибыль._.дерев." hidden="1">{"Прибыль дерев",#N/A,FALSE,"Дерев"}</definedName>
    <definedName name="wrn.Прибыль._.ЗАП." localSheetId="15" hidden="1">{"Прибыль ЗАП",#N/A,FALSE,"ЗАП"}</definedName>
    <definedName name="wrn.Прибыль._.ЗАП." localSheetId="38" hidden="1">{"Прибыль ЗАП",#N/A,FALSE,"ЗАП"}</definedName>
    <definedName name="wrn.Прибыль._.ЗАП." localSheetId="1" hidden="1">{"Прибыль ЗАП",#N/A,FALSE,"ЗАП"}</definedName>
    <definedName name="wrn.Прибыль._.ЗАП." localSheetId="28" hidden="1">{"Прибыль ЗАП",#N/A,FALSE,"ЗАП"}</definedName>
    <definedName name="wrn.Прибыль._.ЗАП." localSheetId="35" hidden="1">{"Прибыль ЗАП",#N/A,FALSE,"ЗАП"}</definedName>
    <definedName name="wrn.Прибыль._.ЗАП." hidden="1">{"Прибыль ЗАП",#N/A,FALSE,"ЗАП"}</definedName>
    <definedName name="wrn.Прибыль._.инстр." localSheetId="15" hidden="1">{"Прибыль инстр",#N/A,FALSE,"Инстр"}</definedName>
    <definedName name="wrn.Прибыль._.инстр." localSheetId="38" hidden="1">{"Прибыль инстр",#N/A,FALSE,"Инстр"}</definedName>
    <definedName name="wrn.Прибыль._.инстр." localSheetId="1" hidden="1">{"Прибыль инстр",#N/A,FALSE,"Инстр"}</definedName>
    <definedName name="wrn.Прибыль._.инстр." localSheetId="28" hidden="1">{"Прибыль инстр",#N/A,FALSE,"Инстр"}</definedName>
    <definedName name="wrn.Прибыль._.инстр." localSheetId="35" hidden="1">{"Прибыль инстр",#N/A,FALSE,"Инстр"}</definedName>
    <definedName name="wrn.Прибыль._.инстр." hidden="1">{"Прибыль инстр",#N/A,FALSE,"Инстр"}</definedName>
    <definedName name="wrn.Прибыль._.литейн." localSheetId="15" hidden="1">{"Прибыль",#N/A,FALSE,"Литейн"}</definedName>
    <definedName name="wrn.Прибыль._.литейн." localSheetId="38" hidden="1">{"Прибыль",#N/A,FALSE,"Литейн"}</definedName>
    <definedName name="wrn.Прибыль._.литейн." localSheetId="1" hidden="1">{"Прибыль",#N/A,FALSE,"Литейн"}</definedName>
    <definedName name="wrn.Прибыль._.литейн." localSheetId="28" hidden="1">{"Прибыль",#N/A,FALSE,"Литейн"}</definedName>
    <definedName name="wrn.Прибыль._.литейн." localSheetId="35" hidden="1">{"Прибыль",#N/A,FALSE,"Литейн"}</definedName>
    <definedName name="wrn.Прибыль._.литейн." hidden="1">{"Прибыль",#N/A,FALSE,"Литейн"}</definedName>
    <definedName name="wrn.Прибыль._.механ." localSheetId="15" hidden="1">{"Прибыль механ",#N/A,FALSE,"Механ"}</definedName>
    <definedName name="wrn.Прибыль._.механ." localSheetId="38" hidden="1">{"Прибыль механ",#N/A,FALSE,"Механ"}</definedName>
    <definedName name="wrn.Прибыль._.механ." localSheetId="1" hidden="1">{"Прибыль механ",#N/A,FALSE,"Механ"}</definedName>
    <definedName name="wrn.Прибыль._.механ." localSheetId="28" hidden="1">{"Прибыль механ",#N/A,FALSE,"Механ"}</definedName>
    <definedName name="wrn.Прибыль._.механ." localSheetId="35" hidden="1">{"Прибыль механ",#N/A,FALSE,"Механ"}</definedName>
    <definedName name="wrn.Прибыль._.механ." hidden="1">{"Прибыль механ",#N/A,FALSE,"Механ"}</definedName>
    <definedName name="wrn.Прибыль._.прессов." localSheetId="15" hidden="1">{"Прибыль пресс",#N/A,FALSE,"Прессов"}</definedName>
    <definedName name="wrn.Прибыль._.прессов." localSheetId="38" hidden="1">{"Прибыль пресс",#N/A,FALSE,"Прессов"}</definedName>
    <definedName name="wrn.Прибыль._.прессов." localSheetId="1" hidden="1">{"Прибыль пресс",#N/A,FALSE,"Прессов"}</definedName>
    <definedName name="wrn.Прибыль._.прессов." localSheetId="28" hidden="1">{"Прибыль пресс",#N/A,FALSE,"Прессов"}</definedName>
    <definedName name="wrn.Прибыль._.прессов." localSheetId="35" hidden="1">{"Прибыль пресс",#N/A,FALSE,"Прессов"}</definedName>
    <definedName name="wrn.Прибыль._.прессов." hidden="1">{"Прибыль пресс",#N/A,FALSE,"Прессов"}</definedName>
    <definedName name="wrn.Прибыль._.прокатн." localSheetId="15" hidden="1">{"Прибыль прокатн",#N/A,FALSE,"Прокатн"}</definedName>
    <definedName name="wrn.Прибыль._.прокатн." localSheetId="38" hidden="1">{"Прибыль прокатн",#N/A,FALSE,"Прокатн"}</definedName>
    <definedName name="wrn.Прибыль._.прокатн." localSheetId="1" hidden="1">{"Прибыль прокатн",#N/A,FALSE,"Прокатн"}</definedName>
    <definedName name="wrn.Прибыль._.прокатн." localSheetId="28" hidden="1">{"Прибыль прокатн",#N/A,FALSE,"Прокатн"}</definedName>
    <definedName name="wrn.Прибыль._.прокатн." localSheetId="35" hidden="1">{"Прибыль прокатн",#N/A,FALSE,"Прокатн"}</definedName>
    <definedName name="wrn.Прибыль._.прокатн." hidden="1">{"Прибыль прокатн",#N/A,FALSE,"Прокатн"}</definedName>
    <definedName name="wrn.Прибыль._.СаМеКо." localSheetId="15" hidden="1">{"Прибыль СаМеКо",#N/A,FALSE,"Итог СаМеКо"}</definedName>
    <definedName name="wrn.Прибыль._.СаМеКо." localSheetId="38" hidden="1">{"Прибыль СаМеКо",#N/A,FALSE,"Итог СаМеКо"}</definedName>
    <definedName name="wrn.Прибыль._.СаМеКо." localSheetId="1" hidden="1">{"Прибыль СаМеКо",#N/A,FALSE,"Итог СаМеКо"}</definedName>
    <definedName name="wrn.Прибыль._.СаМеКо." localSheetId="28" hidden="1">{"Прибыль СаМеКо",#N/A,FALSE,"Итог СаМеКо"}</definedName>
    <definedName name="wrn.Прибыль._.СаМеКо." localSheetId="35" hidden="1">{"Прибыль СаМеКо",#N/A,FALSE,"Итог СаМеКо"}</definedName>
    <definedName name="wrn.Прибыль._.СаМеКо." hidden="1">{"Прибыль СаМеКо",#N/A,FALSE,"Итог СаМеКо"}</definedName>
    <definedName name="wrn.Прибыль._.СМЗ." localSheetId="15" hidden="1">{"Прибыль СМЗ",#N/A,FALSE,"СМЗ"}</definedName>
    <definedName name="wrn.Прибыль._.СМЗ." localSheetId="38" hidden="1">{"Прибыль СМЗ",#N/A,FALSE,"СМЗ"}</definedName>
    <definedName name="wrn.Прибыль._.СМЗ." localSheetId="1" hidden="1">{"Прибыль СМЗ",#N/A,FALSE,"СМЗ"}</definedName>
    <definedName name="wrn.Прибыль._.СМЗ." localSheetId="28" hidden="1">{"Прибыль СМЗ",#N/A,FALSE,"СМЗ"}</definedName>
    <definedName name="wrn.Прибыль._.СМЗ." localSheetId="35" hidden="1">{"Прибыль СМЗ",#N/A,FALSE,"СМЗ"}</definedName>
    <definedName name="wrn.Прибыль._.СМЗ." hidden="1">{"Прибыль СМЗ",#N/A,FALSE,"СМЗ"}</definedName>
    <definedName name="wrn.Прибыль._.энерг." localSheetId="15" hidden="1">{"Приибыль энерг",#N/A,FALSE,"Энерг"}</definedName>
    <definedName name="wrn.Прибыль._.энерг." localSheetId="38" hidden="1">{"Приибыль энерг",#N/A,FALSE,"Энерг"}</definedName>
    <definedName name="wrn.Прибыль._.энерг." localSheetId="1" hidden="1">{"Приибыль энерг",#N/A,FALSE,"Энерг"}</definedName>
    <definedName name="wrn.Прибыль._.энерг." localSheetId="28" hidden="1">{"Приибыль энерг",#N/A,FALSE,"Энерг"}</definedName>
    <definedName name="wrn.Прибыль._.энерг." localSheetId="35" hidden="1">{"Приибыль энерг",#N/A,FALSE,"Энерг"}</definedName>
    <definedName name="wrn.Прибыль._.энерг." hidden="1">{"Приибыль энерг",#N/A,FALSE,"Энерг"}</definedName>
    <definedName name="wrn.смета." localSheetId="15" hidden="1">{#N/A,#N/A,FALSE,"общепр.расх"}</definedName>
    <definedName name="wrn.смета." localSheetId="38" hidden="1">{#N/A,#N/A,FALSE,"общепр.расх"}</definedName>
    <definedName name="wrn.смета." localSheetId="1" hidden="1">{#N/A,#N/A,FALSE,"общепр.расх"}</definedName>
    <definedName name="wrn.смета." localSheetId="28" hidden="1">{#N/A,#N/A,FALSE,"общепр.расх"}</definedName>
    <definedName name="wrn.смета." localSheetId="35" hidden="1">{#N/A,#N/A,FALSE,"общепр.расх"}</definedName>
    <definedName name="wrn.смета." hidden="1">{#N/A,#N/A,FALSE,"общепр.расх"}</definedName>
    <definedName name="Z_30FEE15E_D26F_11D4_A6F7_00508B6A7686_.wvu.FilterData" localSheetId="38" hidden="1">#REF!</definedName>
    <definedName name="Z_30FEE15E_D26F_11D4_A6F7_00508B6A7686_.wvu.FilterData" localSheetId="1" hidden="1">#REF!</definedName>
    <definedName name="Z_30FEE15E_D26F_11D4_A6F7_00508B6A7686_.wvu.FilterData" localSheetId="0" hidden="1">#REF!</definedName>
    <definedName name="Z_30FEE15E_D26F_11D4_A6F7_00508B6A7686_.wvu.FilterData" hidden="1">#REF!</definedName>
    <definedName name="Z_30FEE15E_D26F_11D4_A6F7_00508B6A7686_.wvu.PrintArea" localSheetId="38" hidden="1">#REF!</definedName>
    <definedName name="Z_30FEE15E_D26F_11D4_A6F7_00508B6A7686_.wvu.PrintArea" localSheetId="1" hidden="1">#REF!</definedName>
    <definedName name="Z_30FEE15E_D26F_11D4_A6F7_00508B6A7686_.wvu.PrintArea" localSheetId="0" hidden="1">#REF!</definedName>
    <definedName name="Z_30FEE15E_D26F_11D4_A6F7_00508B6A7686_.wvu.PrintArea" hidden="1">#REF!</definedName>
    <definedName name="Z_30FEE15E_D26F_11D4_A6F7_00508B6A7686_.wvu.PrintTitles" localSheetId="38" hidden="1">#REF!</definedName>
    <definedName name="Z_30FEE15E_D26F_11D4_A6F7_00508B6A7686_.wvu.PrintTitles" localSheetId="1" hidden="1">#REF!</definedName>
    <definedName name="Z_30FEE15E_D26F_11D4_A6F7_00508B6A7686_.wvu.PrintTitles" localSheetId="0" hidden="1">#REF!</definedName>
    <definedName name="Z_30FEE15E_D26F_11D4_A6F7_00508B6A7686_.wvu.PrintTitles" hidden="1">#REF!</definedName>
    <definedName name="Z_30FEE15E_D26F_11D4_A6F7_00508B6A7686_.wvu.Rows" localSheetId="38" hidden="1">#REF!</definedName>
    <definedName name="Z_30FEE15E_D26F_11D4_A6F7_00508B6A7686_.wvu.Rows" localSheetId="1" hidden="1">#REF!</definedName>
    <definedName name="Z_30FEE15E_D26F_11D4_A6F7_00508B6A7686_.wvu.Rows" localSheetId="0" hidden="1">#REF!</definedName>
    <definedName name="Z_30FEE15E_D26F_11D4_A6F7_00508B6A7686_.wvu.Rows" hidden="1">#REF!</definedName>
    <definedName name="zt_1a" localSheetId="0">#REF!</definedName>
    <definedName name="zt_1a">#REF!</definedName>
    <definedName name="zt2a" localSheetId="0">#REF!</definedName>
    <definedName name="zt2a">#REF!</definedName>
    <definedName name="zt3_1" localSheetId="0">#REF!</definedName>
    <definedName name="zt3_1">#REF!</definedName>
    <definedName name="zt3_2" localSheetId="0">#REF!</definedName>
    <definedName name="zt3_2">#REF!</definedName>
    <definedName name="zt4_1" localSheetId="0">#REF!</definedName>
    <definedName name="zt4_1">#REF!</definedName>
    <definedName name="zt5_1">[1]s!$B$13</definedName>
    <definedName name="zt7_1">[1]s!$B$14</definedName>
    <definedName name="zt7_2">[1]s!$B$16</definedName>
    <definedName name="zt7_3" localSheetId="0">#REF!</definedName>
    <definedName name="zt7_3">#REF!</definedName>
    <definedName name="zt8_2" localSheetId="0">#REF!</definedName>
    <definedName name="zt8_2">#REF!</definedName>
    <definedName name="zt8_3" localSheetId="0">#REF!</definedName>
    <definedName name="zt8_3">#REF!</definedName>
    <definedName name="zt9_1">[1]s!$B$6</definedName>
    <definedName name="zt9_3">[1]s!$B$8</definedName>
    <definedName name="zt9_4" localSheetId="0">#REF!</definedName>
    <definedName name="zt9_4">#REF!</definedName>
    <definedName name="zt9_5">[1]s!$B$9</definedName>
    <definedName name="zt9_6">[1]s!$B$10</definedName>
    <definedName name="zt9_7">[1]s!$B$11</definedName>
    <definedName name="zto" localSheetId="0">#REF!</definedName>
    <definedName name="zto">#REF!</definedName>
    <definedName name="ztt5" localSheetId="0">#REF!</definedName>
    <definedName name="ztt5">#REF!</definedName>
    <definedName name="zzt1" localSheetId="0">#REF!</definedName>
    <definedName name="zzt1">#REF!</definedName>
    <definedName name="всп." localSheetId="15" hidden="1">{"Прибыль инстр",#N/A,FALSE,"Инстр"}</definedName>
    <definedName name="всп." localSheetId="38" hidden="1">{"Прибыль инстр",#N/A,FALSE,"Инстр"}</definedName>
    <definedName name="всп." localSheetId="1" hidden="1">{"Прибыль инстр",#N/A,FALSE,"Инстр"}</definedName>
    <definedName name="всп." localSheetId="28" hidden="1">{"Прибыль инстр",#N/A,FALSE,"Инстр"}</definedName>
    <definedName name="всп." localSheetId="35" hidden="1">{"Прибыль инстр",#N/A,FALSE,"Инстр"}</definedName>
    <definedName name="всп." hidden="1">{"Прибыль инстр",#N/A,FALSE,"Инстр"}</definedName>
    <definedName name="город.сети" localSheetId="15" hidden="1">{#N/A,#N/A,FALSE,"общепр.расх"}</definedName>
    <definedName name="город.сети" localSheetId="38" hidden="1">{#N/A,#N/A,FALSE,"общепр.расх"}</definedName>
    <definedName name="город.сети" localSheetId="1" hidden="1">{#N/A,#N/A,FALSE,"общепр.расх"}</definedName>
    <definedName name="город.сети" localSheetId="28" hidden="1">{#N/A,#N/A,FALSE,"общепр.расх"}</definedName>
    <definedName name="город.сети" localSheetId="35" hidden="1">{#N/A,#N/A,FALSE,"общепр.расх"}</definedName>
    <definedName name="город.сети" hidden="1">{#N/A,#N/A,FALSE,"общепр.расх"}</definedName>
    <definedName name="ЁЁЁ" localSheetId="0">#REF!</definedName>
    <definedName name="ЁЁЁ">#REF!</definedName>
    <definedName name="_xlnm.Print_Titles" localSheetId="35">'орг. Корр-ка НВВ 2014г.'!$5:$6</definedName>
    <definedName name="_xlnm.Print_Titles" localSheetId="26">'П1.30 - 07.06.11г.'!$6:$7</definedName>
    <definedName name="_xlnm.Print_Titles" localSheetId="34">'Прилож.2 структура 2011г.-2012г'!$7:$10</definedName>
    <definedName name="ЗАД" localSheetId="15" hidden="1">{"Прибыль",#N/A,FALSE,"Литейн"}</definedName>
    <definedName name="ЗАД" localSheetId="38" hidden="1">{"Прибыль",#N/A,FALSE,"Литейн"}</definedName>
    <definedName name="ЗАД" localSheetId="1" hidden="1">{"Прибыль",#N/A,FALSE,"Литейн"}</definedName>
    <definedName name="ЗАД" localSheetId="28" hidden="1">{"Прибыль",#N/A,FALSE,"Литейн"}</definedName>
    <definedName name="ЗАД" localSheetId="35" hidden="1">{"Прибыль",#N/A,FALSE,"Литейн"}</definedName>
    <definedName name="ЗАД" hidden="1">{"Прибыль",#N/A,FALSE,"Литейн"}</definedName>
    <definedName name="им" localSheetId="15" hidden="1">{"Приибыль энерг",#N/A,FALSE,"Энерг"}</definedName>
    <definedName name="им" localSheetId="38" hidden="1">{"Приибыль энерг",#N/A,FALSE,"Энерг"}</definedName>
    <definedName name="им" localSheetId="1" hidden="1">{"Приибыль энерг",#N/A,FALSE,"Энерг"}</definedName>
    <definedName name="им" localSheetId="28" hidden="1">{"Приибыль энерг",#N/A,FALSE,"Энерг"}</definedName>
    <definedName name="им" localSheetId="35" hidden="1">{"Приибыль энерг",#N/A,FALSE,"Энерг"}</definedName>
    <definedName name="им" hidden="1">{"Приибыль энерг",#N/A,FALSE,"Энерг"}</definedName>
    <definedName name="_xlnm.Print_Area" localSheetId="4">'Баланс электрической энергии'!$A$1:$L$36</definedName>
    <definedName name="_xlnm.Print_Area" localSheetId="1">'Выпад.дох.за 2015г.в тар.2017'!$A$1:$S$49</definedName>
    <definedName name="_xlnm.Print_Area" localSheetId="6">'НВВ на содержание 2012г.'!$A$1:$G$86</definedName>
    <definedName name="_xlnm.Print_Area" localSheetId="35">'орг. Корр-ка НВВ 2014г.'!$A$1:$M$73</definedName>
    <definedName name="_xlnm.Print_Area" localSheetId="0">#REF!</definedName>
    <definedName name="_xlnm.Print_Area" localSheetId="34">'Прилож.2 структура 2011г.-2012г'!$A$1:$L$66</definedName>
    <definedName name="_xlnm.Print_Area">#REF!</definedName>
    <definedName name="ппп" localSheetId="15" hidden="1">{"Прибыль пресс",#N/A,FALSE,"Прессов"}</definedName>
    <definedName name="ппп" localSheetId="38" hidden="1">{"Прибыль пресс",#N/A,FALSE,"Прессов"}</definedName>
    <definedName name="ппп" localSheetId="1" hidden="1">{"Прибыль пресс",#N/A,FALSE,"Прессов"}</definedName>
    <definedName name="ппп" localSheetId="28" hidden="1">{"Прибыль пресс",#N/A,FALSE,"Прессов"}</definedName>
    <definedName name="ппп" localSheetId="35" hidden="1">{"Прибыль пресс",#N/A,FALSE,"Прессов"}</definedName>
    <definedName name="ппп" hidden="1">{"Прибыль пресс",#N/A,FALSE,"Прессов"}</definedName>
    <definedName name="про" localSheetId="0">#REF!</definedName>
    <definedName name="про">#REF!</definedName>
    <definedName name="рп" localSheetId="0">#REF!</definedName>
    <definedName name="рп">#REF!</definedName>
    <definedName name="ТТТ" localSheetId="38" hidden="1">{#N/A,#N/A,FALSE,"общепр.расх"}</definedName>
    <definedName name="ТТТ" hidden="1">{#N/A,#N/A,FALSE,"общепр.расх"}</definedName>
    <definedName name="тттт">#REF!</definedName>
    <definedName name="Услуги" localSheetId="15" hidden="1">{#N/A,#N/A,FALSE,"общепр.расх"}</definedName>
    <definedName name="Услуги" localSheetId="38" hidden="1">{#N/A,#N/A,FALSE,"общепр.расх"}</definedName>
    <definedName name="Услуги" localSheetId="1" hidden="1">{#N/A,#N/A,FALSE,"общепр.расх"}</definedName>
    <definedName name="Услуги" localSheetId="28" hidden="1">{#N/A,#N/A,FALSE,"общепр.расх"}</definedName>
    <definedName name="Услуги" localSheetId="35" hidden="1">{#N/A,#N/A,FALSE,"общепр.расх"}</definedName>
    <definedName name="Услуги" hidden="1">{#N/A,#N/A,FALSE,"общепр.расх"}</definedName>
    <definedName name="цех.себ." localSheetId="15" hidden="1">{#N/A,#N/A,FALSE,"общепр.расх"}</definedName>
    <definedName name="цех.себ." localSheetId="38" hidden="1">{#N/A,#N/A,FALSE,"общепр.расх"}</definedName>
    <definedName name="цех.себ." localSheetId="1" hidden="1">{#N/A,#N/A,FALSE,"общепр.расх"}</definedName>
    <definedName name="цех.себ." localSheetId="28" hidden="1">{#N/A,#N/A,FALSE,"общепр.расх"}</definedName>
    <definedName name="цех.себ." localSheetId="35" hidden="1">{#N/A,#N/A,FALSE,"общепр.расх"}</definedName>
    <definedName name="цех.себ." hidden="1">{#N/A,#N/A,FALSE,"общепр.расх"}</definedName>
  </definedNames>
  <calcPr calcId="145621"/>
</workbook>
</file>

<file path=xl/calcChain.xml><?xml version="1.0" encoding="utf-8"?>
<calcChain xmlns="http://schemas.openxmlformats.org/spreadsheetml/2006/main">
  <c r="Q29" i="149" l="1"/>
  <c r="H26" i="176"/>
  <c r="Q20" i="149"/>
  <c r="Q18" i="149"/>
  <c r="Q17" i="149"/>
  <c r="Q12" i="149"/>
  <c r="R12" i="149"/>
  <c r="P20" i="149"/>
  <c r="R21" i="149"/>
  <c r="Q21" i="149"/>
  <c r="Q14" i="149"/>
  <c r="T13" i="149"/>
  <c r="S16" i="149"/>
  <c r="Q13" i="149"/>
  <c r="S13" i="149" s="1"/>
  <c r="Q30" i="149" l="1"/>
  <c r="Q31" i="149" s="1"/>
  <c r="R16" i="149"/>
  <c r="G15" i="149" l="1"/>
  <c r="G11" i="149"/>
  <c r="G9" i="149"/>
  <c r="E21" i="176"/>
  <c r="E20" i="176"/>
  <c r="G18" i="176"/>
  <c r="D18" i="176"/>
  <c r="C18" i="176"/>
  <c r="N32" i="176" s="1"/>
  <c r="E17" i="176"/>
  <c r="I17" i="176" s="1"/>
  <c r="E16" i="176"/>
  <c r="D22" i="176"/>
  <c r="N36" i="176"/>
  <c r="N30" i="176"/>
  <c r="G22" i="176"/>
  <c r="N20" i="176"/>
  <c r="L22" i="176"/>
  <c r="I20" i="176"/>
  <c r="N19" i="176"/>
  <c r="J19" i="176"/>
  <c r="P18" i="176"/>
  <c r="N18" i="176"/>
  <c r="P22" i="176" s="1"/>
  <c r="J17" i="176"/>
  <c r="J16" i="176"/>
  <c r="J18" i="176" s="1"/>
  <c r="I16" i="176"/>
  <c r="I18" i="176" l="1"/>
  <c r="L20" i="176"/>
  <c r="E18" i="176"/>
  <c r="G24" i="149"/>
  <c r="G26" i="149"/>
  <c r="N22" i="176"/>
  <c r="I21" i="176"/>
  <c r="I22" i="176" s="1"/>
  <c r="N23" i="176" s="1"/>
  <c r="N34" i="176"/>
  <c r="N38" i="176" s="1"/>
  <c r="Q18" i="176"/>
  <c r="C22" i="176"/>
  <c r="E22" i="176" s="1"/>
  <c r="F47" i="173" l="1"/>
  <c r="G47" i="173" s="1"/>
  <c r="G46" i="173"/>
  <c r="G45" i="173"/>
  <c r="G44" i="173"/>
  <c r="G40" i="173"/>
  <c r="F40" i="173"/>
  <c r="G39" i="173"/>
  <c r="G38" i="173"/>
  <c r="G34" i="173"/>
  <c r="G32" i="173"/>
  <c r="F30" i="173"/>
  <c r="G30" i="173" s="1"/>
  <c r="G22" i="173"/>
  <c r="F22" i="173"/>
  <c r="G21" i="173"/>
  <c r="G20" i="173"/>
  <c r="G19" i="173"/>
  <c r="G14" i="173"/>
  <c r="G13" i="173"/>
  <c r="G12" i="173"/>
  <c r="B7" i="173"/>
  <c r="C7" i="173" s="1"/>
  <c r="D7" i="173" s="1"/>
  <c r="E7" i="173" s="1"/>
  <c r="F7" i="173" s="1"/>
  <c r="F48" i="172"/>
  <c r="G48" i="172" s="1"/>
  <c r="F47" i="172"/>
  <c r="G47" i="172" s="1"/>
  <c r="G46" i="172"/>
  <c r="K43" i="172"/>
  <c r="F43" i="172"/>
  <c r="G43" i="172" s="1"/>
  <c r="G41" i="172"/>
  <c r="G40" i="172"/>
  <c r="G37" i="172"/>
  <c r="G36" i="172"/>
  <c r="G27" i="172"/>
  <c r="G24" i="172"/>
  <c r="G33" i="172" s="1"/>
  <c r="B12" i="172"/>
  <c r="C12" i="172" s="1"/>
  <c r="D12" i="172" s="1"/>
  <c r="E12" i="172" s="1"/>
  <c r="F12" i="172" s="1"/>
  <c r="L3" i="172"/>
  <c r="L4" i="172" l="1"/>
  <c r="G49" i="173"/>
  <c r="G44" i="172"/>
  <c r="K51" i="173"/>
  <c r="L2" i="172"/>
  <c r="J51" i="173"/>
  <c r="G49" i="172"/>
  <c r="L5" i="172" s="1"/>
  <c r="J48" i="173"/>
  <c r="G50" i="173"/>
  <c r="L1" i="172" l="1"/>
  <c r="M3" i="172" s="1"/>
  <c r="J49" i="172"/>
  <c r="D30" i="176"/>
  <c r="C29" i="176"/>
  <c r="C30" i="176"/>
  <c r="D29" i="176"/>
  <c r="L7" i="172"/>
  <c r="M5" i="172"/>
  <c r="M4" i="172"/>
  <c r="M2" i="172" l="1"/>
  <c r="C31" i="176"/>
  <c r="D31" i="176"/>
  <c r="H123" i="170"/>
  <c r="G123" i="170"/>
  <c r="E123" i="170"/>
  <c r="C123" i="170"/>
  <c r="H122" i="170"/>
  <c r="G122" i="170"/>
  <c r="E122" i="170"/>
  <c r="C122" i="170"/>
  <c r="H121" i="170"/>
  <c r="G121" i="170"/>
  <c r="E121" i="170"/>
  <c r="C121" i="170"/>
  <c r="H120" i="170"/>
  <c r="G120" i="170"/>
  <c r="E120" i="170"/>
  <c r="C120" i="170"/>
  <c r="H112" i="170"/>
  <c r="G112" i="170"/>
  <c r="E112" i="170"/>
  <c r="C112" i="170"/>
  <c r="H111" i="170"/>
  <c r="G111" i="170"/>
  <c r="E111" i="170"/>
  <c r="C111" i="170"/>
  <c r="H110" i="170"/>
  <c r="G110" i="170"/>
  <c r="E110" i="170"/>
  <c r="C110" i="170"/>
  <c r="H109" i="170"/>
  <c r="G109" i="170"/>
  <c r="E109" i="170"/>
  <c r="C109" i="170"/>
  <c r="H101" i="170"/>
  <c r="G101" i="170"/>
  <c r="E101" i="170"/>
  <c r="C101" i="170"/>
  <c r="H100" i="170"/>
  <c r="G100" i="170"/>
  <c r="E100" i="170"/>
  <c r="C100" i="170"/>
  <c r="H99" i="170"/>
  <c r="G99" i="170"/>
  <c r="E99" i="170"/>
  <c r="C99" i="170"/>
  <c r="H98" i="170"/>
  <c r="G98" i="170"/>
  <c r="E98" i="170"/>
  <c r="C98" i="170"/>
  <c r="H97" i="170"/>
  <c r="G97" i="170"/>
  <c r="E97" i="170"/>
  <c r="C97" i="170"/>
  <c r="G90" i="170"/>
  <c r="H89" i="170"/>
  <c r="G89" i="170"/>
  <c r="E89" i="170"/>
  <c r="C89" i="170"/>
  <c r="H88" i="170"/>
  <c r="G88" i="170"/>
  <c r="E88" i="170"/>
  <c r="C88" i="170"/>
  <c r="H87" i="170"/>
  <c r="G87" i="170"/>
  <c r="E87" i="170"/>
  <c r="C87" i="170"/>
  <c r="H86" i="170"/>
  <c r="G86" i="170"/>
  <c r="E86" i="170"/>
  <c r="C86" i="170"/>
  <c r="G79" i="170"/>
  <c r="H78" i="170"/>
  <c r="G78" i="170"/>
  <c r="E78" i="170"/>
  <c r="C78" i="170"/>
  <c r="H77" i="170"/>
  <c r="G77" i="170"/>
  <c r="E77" i="170"/>
  <c r="C77" i="170"/>
  <c r="H76" i="170"/>
  <c r="G76" i="170"/>
  <c r="E76" i="170"/>
  <c r="C76" i="170"/>
  <c r="H75" i="170"/>
  <c r="G75" i="170"/>
  <c r="E75" i="170"/>
  <c r="C75" i="170"/>
  <c r="G68" i="170"/>
  <c r="H67" i="170"/>
  <c r="G67" i="170"/>
  <c r="E67" i="170"/>
  <c r="C67" i="170"/>
  <c r="H66" i="170"/>
  <c r="G66" i="170"/>
  <c r="E66" i="170"/>
  <c r="C66" i="170"/>
  <c r="H65" i="170"/>
  <c r="G65" i="170"/>
  <c r="E65" i="170"/>
  <c r="C65" i="170"/>
  <c r="H64" i="170"/>
  <c r="G64" i="170"/>
  <c r="E64" i="170"/>
  <c r="C64" i="170"/>
  <c r="G57" i="170"/>
  <c r="H56" i="170"/>
  <c r="I67" i="170" s="1"/>
  <c r="G56" i="170"/>
  <c r="E56" i="170"/>
  <c r="C56" i="170"/>
  <c r="H55" i="170"/>
  <c r="I66" i="170" s="1"/>
  <c r="G55" i="170"/>
  <c r="E55" i="170"/>
  <c r="C55" i="170"/>
  <c r="H54" i="170"/>
  <c r="I65" i="170" s="1"/>
  <c r="G54" i="170"/>
  <c r="E54" i="170"/>
  <c r="C54" i="170"/>
  <c r="H53" i="170"/>
  <c r="I64" i="170" s="1"/>
  <c r="G53" i="170"/>
  <c r="E53" i="170"/>
  <c r="C53" i="170"/>
  <c r="H46" i="170"/>
  <c r="G46" i="170"/>
  <c r="E46" i="170"/>
  <c r="C46" i="170"/>
  <c r="H45" i="170"/>
  <c r="G45" i="170"/>
  <c r="E45" i="170"/>
  <c r="C45" i="170"/>
  <c r="H44" i="170"/>
  <c r="G44" i="170"/>
  <c r="E44" i="170"/>
  <c r="C44" i="170"/>
  <c r="H43" i="170"/>
  <c r="G43" i="170"/>
  <c r="E43" i="170"/>
  <c r="C43" i="170"/>
  <c r="H42" i="170"/>
  <c r="G42" i="170"/>
  <c r="E42" i="170"/>
  <c r="C42" i="170"/>
  <c r="H35" i="170"/>
  <c r="G35" i="170"/>
  <c r="E35" i="170"/>
  <c r="C35" i="170"/>
  <c r="L34" i="170"/>
  <c r="K34" i="170"/>
  <c r="J34" i="170"/>
  <c r="H34" i="170"/>
  <c r="G34" i="170"/>
  <c r="E34" i="170"/>
  <c r="C34" i="170"/>
  <c r="L33" i="170"/>
  <c r="K33" i="170"/>
  <c r="J33" i="170"/>
  <c r="C33" i="170"/>
  <c r="L32" i="170"/>
  <c r="K32" i="170"/>
  <c r="J32" i="170"/>
  <c r="H32" i="170"/>
  <c r="G32" i="170"/>
  <c r="E32" i="170"/>
  <c r="C32" i="170"/>
  <c r="L31" i="170"/>
  <c r="K31" i="170"/>
  <c r="J31" i="170"/>
  <c r="H31" i="170"/>
  <c r="G31" i="170"/>
  <c r="E31" i="170"/>
  <c r="C31" i="170"/>
  <c r="H24" i="170"/>
  <c r="H23" i="170"/>
  <c r="G23" i="170"/>
  <c r="E23" i="170"/>
  <c r="C23" i="170"/>
  <c r="H22" i="170"/>
  <c r="G22" i="170"/>
  <c r="E22" i="170"/>
  <c r="C22" i="170"/>
  <c r="H21" i="170"/>
  <c r="G21" i="170"/>
  <c r="E21" i="170"/>
  <c r="C21" i="170"/>
  <c r="H20" i="170"/>
  <c r="G20" i="170"/>
  <c r="E20" i="170"/>
  <c r="C20" i="170"/>
  <c r="H13" i="170"/>
  <c r="H12" i="170"/>
  <c r="H11" i="170"/>
  <c r="H10" i="170"/>
  <c r="H9" i="170"/>
  <c r="G123" i="126"/>
  <c r="G122" i="126"/>
  <c r="G121" i="126"/>
  <c r="G120" i="126"/>
  <c r="E121" i="126"/>
  <c r="E122" i="126"/>
  <c r="E123" i="126"/>
  <c r="E120" i="126"/>
  <c r="C121" i="126"/>
  <c r="C122" i="126"/>
  <c r="C123" i="126"/>
  <c r="C120" i="126"/>
  <c r="H123" i="126"/>
  <c r="H122" i="126"/>
  <c r="H121" i="126"/>
  <c r="H120" i="126"/>
  <c r="I86" i="170" l="1"/>
  <c r="I87" i="170"/>
  <c r="I88" i="170"/>
  <c r="I89" i="170"/>
  <c r="I3" i="149"/>
  <c r="L43" i="149"/>
  <c r="H33" i="149"/>
  <c r="H24" i="149"/>
  <c r="H26" i="149" s="1"/>
  <c r="I4" i="149"/>
  <c r="H3" i="149"/>
  <c r="E12" i="64"/>
  <c r="I77" i="135"/>
  <c r="D52" i="135"/>
  <c r="E18" i="135"/>
  <c r="F58" i="135"/>
  <c r="F54" i="135"/>
  <c r="F52" i="135"/>
  <c r="F51" i="135"/>
  <c r="F50" i="135"/>
  <c r="F49" i="135"/>
  <c r="F48" i="135"/>
  <c r="F47" i="135"/>
  <c r="F46" i="135"/>
  <c r="F45" i="135"/>
  <c r="F44" i="135"/>
  <c r="E43" i="135"/>
  <c r="F43" i="135"/>
  <c r="F42" i="135"/>
  <c r="F41" i="135"/>
  <c r="F40" i="135"/>
  <c r="F39" i="135"/>
  <c r="F38" i="135" s="1"/>
  <c r="F36" i="135"/>
  <c r="F33" i="135" s="1"/>
  <c r="F35" i="135"/>
  <c r="F34" i="135"/>
  <c r="E33" i="135"/>
  <c r="F32" i="135"/>
  <c r="F31" i="135"/>
  <c r="F30" i="135"/>
  <c r="F29" i="135"/>
  <c r="F28" i="135"/>
  <c r="F27" i="135"/>
  <c r="F26" i="135"/>
  <c r="F25" i="135"/>
  <c r="F24" i="135"/>
  <c r="F23" i="135"/>
  <c r="F22" i="135"/>
  <c r="F20" i="135"/>
  <c r="F17" i="135"/>
  <c r="G17" i="135" s="1"/>
  <c r="F16" i="135"/>
  <c r="F15" i="135"/>
  <c r="G15" i="135"/>
  <c r="F14" i="135"/>
  <c r="E13" i="135"/>
  <c r="E52" i="130"/>
  <c r="E41" i="130"/>
  <c r="E12" i="130"/>
  <c r="E9" i="130"/>
  <c r="J14" i="130"/>
  <c r="K14" i="130" s="1"/>
  <c r="J15" i="130"/>
  <c r="K15" i="130"/>
  <c r="G56" i="130"/>
  <c r="H56" i="130"/>
  <c r="F12" i="130"/>
  <c r="F38" i="130"/>
  <c r="D56" i="130"/>
  <c r="D60" i="130"/>
  <c r="F60" i="130" s="1"/>
  <c r="D26" i="130"/>
  <c r="D40" i="130"/>
  <c r="D25" i="130"/>
  <c r="F25" i="130" s="1"/>
  <c r="D13" i="135" s="1"/>
  <c r="D24" i="130"/>
  <c r="H112" i="126"/>
  <c r="G112" i="126"/>
  <c r="E112" i="126"/>
  <c r="C112" i="126"/>
  <c r="H111" i="126"/>
  <c r="G111" i="126"/>
  <c r="E111" i="126"/>
  <c r="C111" i="126"/>
  <c r="H110" i="126"/>
  <c r="G110" i="126"/>
  <c r="E110" i="126"/>
  <c r="C110" i="126"/>
  <c r="H109" i="126"/>
  <c r="G109" i="126"/>
  <c r="E109" i="126"/>
  <c r="C109" i="126"/>
  <c r="H101" i="126"/>
  <c r="G101" i="126"/>
  <c r="E101" i="126"/>
  <c r="C101" i="126"/>
  <c r="H100" i="126"/>
  <c r="G100" i="126"/>
  <c r="E100" i="126"/>
  <c r="C100" i="126"/>
  <c r="H99" i="126"/>
  <c r="G99" i="126"/>
  <c r="E99" i="126"/>
  <c r="C99" i="126"/>
  <c r="H98" i="126"/>
  <c r="G98" i="126"/>
  <c r="E98" i="126"/>
  <c r="C98" i="126"/>
  <c r="H97" i="126"/>
  <c r="G97" i="126"/>
  <c r="E97" i="126"/>
  <c r="C97" i="126"/>
  <c r="G90" i="126"/>
  <c r="H89" i="126"/>
  <c r="G89" i="126"/>
  <c r="E89" i="126"/>
  <c r="C89" i="126"/>
  <c r="H88" i="126"/>
  <c r="G88" i="126"/>
  <c r="E88" i="126"/>
  <c r="C88" i="126"/>
  <c r="H87" i="126"/>
  <c r="G87" i="126"/>
  <c r="E87" i="126"/>
  <c r="C87" i="126"/>
  <c r="H86" i="126"/>
  <c r="G86" i="126"/>
  <c r="E86" i="126"/>
  <c r="C86" i="126"/>
  <c r="G79" i="126"/>
  <c r="H78" i="126"/>
  <c r="I89" i="126" s="1"/>
  <c r="G78" i="126"/>
  <c r="E78" i="126"/>
  <c r="C78" i="126"/>
  <c r="H77" i="126"/>
  <c r="I88" i="126" s="1"/>
  <c r="G77" i="126"/>
  <c r="E77" i="126"/>
  <c r="C77" i="126"/>
  <c r="H76" i="126"/>
  <c r="I87" i="126"/>
  <c r="G76" i="126"/>
  <c r="E76" i="126"/>
  <c r="C76" i="126"/>
  <c r="H75" i="126"/>
  <c r="I86" i="126"/>
  <c r="G75" i="126"/>
  <c r="E75" i="126"/>
  <c r="C75" i="126"/>
  <c r="G68" i="126"/>
  <c r="H67" i="126"/>
  <c r="G67" i="126"/>
  <c r="E67" i="126"/>
  <c r="C67" i="126"/>
  <c r="H66" i="126"/>
  <c r="G66" i="126"/>
  <c r="E66" i="126"/>
  <c r="C66" i="126"/>
  <c r="H65" i="126"/>
  <c r="G65" i="126"/>
  <c r="E65" i="126"/>
  <c r="C65" i="126"/>
  <c r="H64" i="126"/>
  <c r="G64" i="126"/>
  <c r="E64" i="126"/>
  <c r="C64" i="126"/>
  <c r="G57" i="126"/>
  <c r="H56" i="126"/>
  <c r="I67" i="126"/>
  <c r="G56" i="126"/>
  <c r="E56" i="126"/>
  <c r="C56" i="126"/>
  <c r="H55" i="126"/>
  <c r="I66" i="126"/>
  <c r="G55" i="126"/>
  <c r="E55" i="126"/>
  <c r="C55" i="126"/>
  <c r="H54" i="126"/>
  <c r="I65" i="126" s="1"/>
  <c r="G54" i="126"/>
  <c r="E54" i="126"/>
  <c r="C54" i="126"/>
  <c r="H53" i="126"/>
  <c r="I64" i="126" s="1"/>
  <c r="G53" i="126"/>
  <c r="E53" i="126"/>
  <c r="C53" i="126"/>
  <c r="H46" i="126"/>
  <c r="G46" i="126"/>
  <c r="E46" i="126"/>
  <c r="C46" i="126"/>
  <c r="H45" i="126"/>
  <c r="G45" i="126"/>
  <c r="E45" i="126"/>
  <c r="C45" i="126"/>
  <c r="H44" i="126"/>
  <c r="G44" i="126"/>
  <c r="E44" i="126"/>
  <c r="C44" i="126"/>
  <c r="H43" i="126"/>
  <c r="G43" i="126"/>
  <c r="E43" i="126"/>
  <c r="C43" i="126"/>
  <c r="H42" i="126"/>
  <c r="G42" i="126"/>
  <c r="E42" i="126"/>
  <c r="C42" i="126"/>
  <c r="H35" i="126"/>
  <c r="G35" i="126"/>
  <c r="E35" i="126"/>
  <c r="C35" i="126"/>
  <c r="L34" i="126"/>
  <c r="K34" i="126"/>
  <c r="J34" i="126"/>
  <c r="H34" i="126"/>
  <c r="G34" i="126"/>
  <c r="E34" i="126"/>
  <c r="C34" i="126"/>
  <c r="L33" i="126"/>
  <c r="K33" i="126"/>
  <c r="J33" i="126"/>
  <c r="C33" i="126"/>
  <c r="L32" i="126"/>
  <c r="K32" i="126"/>
  <c r="J32" i="126"/>
  <c r="H32" i="126"/>
  <c r="G32" i="126"/>
  <c r="E32" i="126"/>
  <c r="C32" i="126"/>
  <c r="L31" i="126"/>
  <c r="K31" i="126"/>
  <c r="J31" i="126"/>
  <c r="H31" i="126"/>
  <c r="G31" i="126"/>
  <c r="E31" i="126"/>
  <c r="C31" i="126"/>
  <c r="H24" i="126"/>
  <c r="H23" i="126"/>
  <c r="G23" i="126"/>
  <c r="E23" i="126"/>
  <c r="C23" i="126"/>
  <c r="H22" i="126"/>
  <c r="G22" i="126"/>
  <c r="E22" i="126"/>
  <c r="C22" i="126"/>
  <c r="H21" i="126"/>
  <c r="G21" i="126"/>
  <c r="E21" i="126"/>
  <c r="C21" i="126"/>
  <c r="H20" i="126"/>
  <c r="G20" i="126"/>
  <c r="E20" i="126"/>
  <c r="C20" i="126"/>
  <c r="H13" i="126"/>
  <c r="H12" i="126"/>
  <c r="H11" i="126"/>
  <c r="H10" i="126"/>
  <c r="H9" i="126"/>
  <c r="H52" i="130"/>
  <c r="G52" i="130"/>
  <c r="H51" i="130"/>
  <c r="H41" i="130"/>
  <c r="H58" i="130" s="1"/>
  <c r="G41" i="130"/>
  <c r="G58" i="130"/>
  <c r="G62" i="130" s="1"/>
  <c r="H29" i="130"/>
  <c r="H27" i="130" s="1"/>
  <c r="H45" i="130" s="1"/>
  <c r="G29" i="130"/>
  <c r="G27" i="130"/>
  <c r="D29" i="130"/>
  <c r="H23" i="130"/>
  <c r="G23" i="130"/>
  <c r="B21" i="130"/>
  <c r="C21" i="130" s="1"/>
  <c r="D21" i="130" s="1"/>
  <c r="F10" i="130"/>
  <c r="B6" i="130"/>
  <c r="C6" i="130" s="1"/>
  <c r="D6" i="130" s="1"/>
  <c r="F13" i="103"/>
  <c r="F42" i="103"/>
  <c r="F11" i="103"/>
  <c r="F27" i="103"/>
  <c r="F14" i="103" s="1"/>
  <c r="F38" i="103"/>
  <c r="F10" i="103"/>
  <c r="E43" i="129"/>
  <c r="E43" i="128"/>
  <c r="E43" i="127"/>
  <c r="E43" i="125"/>
  <c r="J38" i="127"/>
  <c r="I19" i="128"/>
  <c r="J33" i="127"/>
  <c r="E26" i="128"/>
  <c r="E28" i="128"/>
  <c r="E27" i="128"/>
  <c r="E29" i="128"/>
  <c r="E25" i="128"/>
  <c r="E25" i="127"/>
  <c r="E26" i="127"/>
  <c r="E27" i="127"/>
  <c r="E27" i="129" s="1"/>
  <c r="C27" i="129" s="1"/>
  <c r="E28" i="127"/>
  <c r="D39" i="129"/>
  <c r="D33" i="129"/>
  <c r="D35" i="129"/>
  <c r="D32" i="129"/>
  <c r="D26" i="129"/>
  <c r="D27" i="129"/>
  <c r="D28" i="129"/>
  <c r="D29" i="129"/>
  <c r="D25" i="129"/>
  <c r="D39" i="128"/>
  <c r="C39" i="128" s="1"/>
  <c r="D33" i="128"/>
  <c r="I33" i="128" s="1"/>
  <c r="D35" i="128"/>
  <c r="I35" i="128" s="1"/>
  <c r="D32" i="128"/>
  <c r="I32" i="128" s="1"/>
  <c r="D26" i="128"/>
  <c r="D27" i="128"/>
  <c r="C27" i="128" s="1"/>
  <c r="D28" i="128"/>
  <c r="D29" i="128"/>
  <c r="D25" i="128"/>
  <c r="D39" i="127"/>
  <c r="I39" i="127" s="1"/>
  <c r="D35" i="127"/>
  <c r="I35" i="127" s="1"/>
  <c r="I35" i="129" s="1"/>
  <c r="D33" i="127"/>
  <c r="I33" i="127" s="1"/>
  <c r="I33" i="129" s="1"/>
  <c r="D32" i="127"/>
  <c r="D27" i="127"/>
  <c r="D26" i="127"/>
  <c r="D25" i="127"/>
  <c r="C25" i="127" s="1"/>
  <c r="D28" i="127"/>
  <c r="I28" i="127" s="1"/>
  <c r="D29" i="127"/>
  <c r="C29" i="127" s="1"/>
  <c r="E29" i="127"/>
  <c r="I19" i="127"/>
  <c r="I19" i="129" s="1"/>
  <c r="S28" i="125"/>
  <c r="R28" i="129"/>
  <c r="N69" i="129"/>
  <c r="L69" i="129"/>
  <c r="N62" i="129"/>
  <c r="L62" i="129"/>
  <c r="G54" i="129"/>
  <c r="H54" i="129" s="1"/>
  <c r="G53" i="129"/>
  <c r="F53" i="129"/>
  <c r="E53" i="129"/>
  <c r="G52" i="129"/>
  <c r="F52" i="129"/>
  <c r="G51" i="129"/>
  <c r="F51" i="129"/>
  <c r="G50" i="129"/>
  <c r="F50" i="129"/>
  <c r="M36" i="129"/>
  <c r="L36" i="129"/>
  <c r="M31" i="129"/>
  <c r="L31" i="129"/>
  <c r="H13" i="129"/>
  <c r="G13" i="129"/>
  <c r="G12" i="129"/>
  <c r="G11" i="129"/>
  <c r="G10" i="129"/>
  <c r="F65" i="128"/>
  <c r="G65" i="128"/>
  <c r="F66" i="128"/>
  <c r="G26" i="128" s="1"/>
  <c r="G66" i="128"/>
  <c r="H26" i="128" s="1"/>
  <c r="E67" i="128"/>
  <c r="F27" i="128" s="1"/>
  <c r="F67" i="128"/>
  <c r="G27" i="128" s="1"/>
  <c r="J27" i="128" s="1"/>
  <c r="G67" i="128"/>
  <c r="H27" i="128" s="1"/>
  <c r="N27" i="128" s="1"/>
  <c r="G68" i="128"/>
  <c r="H28" i="128" s="1"/>
  <c r="G64" i="128"/>
  <c r="H25" i="128" s="1"/>
  <c r="F64" i="128"/>
  <c r="G25" i="128" s="1"/>
  <c r="J25" i="128" s="1"/>
  <c r="J33" i="128"/>
  <c r="N32" i="128"/>
  <c r="N39" i="128"/>
  <c r="M36" i="128"/>
  <c r="L36" i="128"/>
  <c r="M31" i="128"/>
  <c r="L31" i="128"/>
  <c r="I28" i="128"/>
  <c r="H13" i="128"/>
  <c r="G13" i="128"/>
  <c r="G12" i="128"/>
  <c r="G11" i="128"/>
  <c r="G10" i="128"/>
  <c r="N35" i="127"/>
  <c r="E39" i="129"/>
  <c r="G68" i="127"/>
  <c r="G67" i="127"/>
  <c r="H27" i="127" s="1"/>
  <c r="F67" i="127"/>
  <c r="E67" i="127"/>
  <c r="F27" i="127" s="1"/>
  <c r="I27" i="127" s="1"/>
  <c r="G66" i="127"/>
  <c r="H26" i="127" s="1"/>
  <c r="F66" i="127"/>
  <c r="G26" i="127" s="1"/>
  <c r="J26" i="127" s="1"/>
  <c r="E66" i="127"/>
  <c r="G65" i="127"/>
  <c r="F65" i="127"/>
  <c r="E65" i="127"/>
  <c r="G64" i="127"/>
  <c r="H25" i="127" s="1"/>
  <c r="N25" i="127" s="1"/>
  <c r="F64" i="127"/>
  <c r="G25" i="127" s="1"/>
  <c r="J25" i="127" s="1"/>
  <c r="E64" i="127"/>
  <c r="F25" i="127" s="1"/>
  <c r="M36" i="127"/>
  <c r="L36" i="127"/>
  <c r="M31" i="127"/>
  <c r="L31" i="127"/>
  <c r="H13" i="127"/>
  <c r="G13" i="127"/>
  <c r="G12" i="127"/>
  <c r="G11" i="127"/>
  <c r="G10" i="127"/>
  <c r="F65" i="125"/>
  <c r="G65" i="125"/>
  <c r="F66" i="125"/>
  <c r="G66" i="125"/>
  <c r="F67" i="125"/>
  <c r="G67" i="125"/>
  <c r="G68" i="125"/>
  <c r="H68" i="125" s="1"/>
  <c r="G64" i="125"/>
  <c r="F64" i="125"/>
  <c r="E66" i="125"/>
  <c r="E67" i="125"/>
  <c r="E65" i="125"/>
  <c r="E64" i="125"/>
  <c r="H29" i="125"/>
  <c r="J39" i="125"/>
  <c r="I39" i="125"/>
  <c r="K39" i="125" s="1"/>
  <c r="H39" i="125" s="1"/>
  <c r="C39" i="125"/>
  <c r="M36" i="125"/>
  <c r="L36" i="125"/>
  <c r="J35" i="125"/>
  <c r="I35" i="125"/>
  <c r="K35" i="125" s="1"/>
  <c r="H35" i="125" s="1"/>
  <c r="N35" i="125" s="1"/>
  <c r="C35" i="125"/>
  <c r="I33" i="125"/>
  <c r="J32" i="125"/>
  <c r="I32" i="125"/>
  <c r="K32" i="125" s="1"/>
  <c r="C32" i="125"/>
  <c r="M31" i="125"/>
  <c r="L31" i="125"/>
  <c r="E29" i="125"/>
  <c r="N29" i="125" s="1"/>
  <c r="E28" i="125"/>
  <c r="N28" i="125"/>
  <c r="I28" i="125"/>
  <c r="I27" i="125"/>
  <c r="E27" i="125"/>
  <c r="N27" i="125"/>
  <c r="I26" i="125"/>
  <c r="K26" i="125" s="1"/>
  <c r="E26" i="125"/>
  <c r="N26" i="125" s="1"/>
  <c r="I25" i="125"/>
  <c r="E25" i="125"/>
  <c r="H13" i="125"/>
  <c r="G13" i="125"/>
  <c r="G12" i="125"/>
  <c r="G11" i="125"/>
  <c r="G10" i="125"/>
  <c r="J37" i="124"/>
  <c r="E29" i="124"/>
  <c r="D29" i="124"/>
  <c r="E28" i="124"/>
  <c r="D28" i="124"/>
  <c r="D24" i="124" s="1"/>
  <c r="E27" i="124"/>
  <c r="E26" i="124"/>
  <c r="E25" i="124"/>
  <c r="G67" i="124"/>
  <c r="H29" i="124" s="1"/>
  <c r="N29" i="124" s="1"/>
  <c r="F67" i="124"/>
  <c r="E67" i="124"/>
  <c r="G66" i="124"/>
  <c r="F66" i="124"/>
  <c r="H66" i="124" s="1"/>
  <c r="E66" i="124"/>
  <c r="G65" i="124"/>
  <c r="F65" i="124"/>
  <c r="E65" i="124"/>
  <c r="H65" i="124" s="1"/>
  <c r="G64" i="124"/>
  <c r="F64" i="124"/>
  <c r="E64" i="124"/>
  <c r="G63" i="124"/>
  <c r="F63" i="124"/>
  <c r="E63" i="124"/>
  <c r="F25" i="124" s="1"/>
  <c r="I25" i="124" s="1"/>
  <c r="J38" i="124"/>
  <c r="I38" i="124"/>
  <c r="K38" i="124" s="1"/>
  <c r="H38" i="124" s="1"/>
  <c r="N38" i="124" s="1"/>
  <c r="C38" i="124"/>
  <c r="M35" i="124"/>
  <c r="L35" i="124"/>
  <c r="J34" i="124"/>
  <c r="I34" i="124"/>
  <c r="C34" i="124"/>
  <c r="J32" i="124"/>
  <c r="I32" i="124"/>
  <c r="K32" i="124"/>
  <c r="H32" i="124" s="1"/>
  <c r="N32" i="124" s="1"/>
  <c r="C32" i="124"/>
  <c r="M31" i="124"/>
  <c r="L31" i="124"/>
  <c r="H28" i="124"/>
  <c r="N28" i="124" s="1"/>
  <c r="G28" i="124"/>
  <c r="G29" i="124" s="1"/>
  <c r="J29" i="124" s="1"/>
  <c r="F28" i="124"/>
  <c r="H27" i="124"/>
  <c r="G27" i="124"/>
  <c r="J27" i="124" s="1"/>
  <c r="F27" i="124"/>
  <c r="I27" i="124" s="1"/>
  <c r="H26" i="124"/>
  <c r="N26" i="124" s="1"/>
  <c r="G26" i="124"/>
  <c r="J26" i="124" s="1"/>
  <c r="C26" i="124"/>
  <c r="H25" i="124"/>
  <c r="N25" i="124" s="1"/>
  <c r="G25" i="124"/>
  <c r="H13" i="124"/>
  <c r="G13" i="124"/>
  <c r="G12" i="124"/>
  <c r="G11" i="124"/>
  <c r="G10" i="124"/>
  <c r="G66" i="123"/>
  <c r="H29" i="123" s="1"/>
  <c r="N29" i="123" s="1"/>
  <c r="F66" i="123"/>
  <c r="E66" i="123"/>
  <c r="G65" i="123"/>
  <c r="F65" i="123"/>
  <c r="E65" i="123"/>
  <c r="G64" i="123"/>
  <c r="F64" i="123"/>
  <c r="E64" i="123"/>
  <c r="H64" i="123" s="1"/>
  <c r="G63" i="123"/>
  <c r="F63" i="123"/>
  <c r="E63" i="123"/>
  <c r="G62" i="123"/>
  <c r="F62" i="123"/>
  <c r="E62" i="123"/>
  <c r="F25" i="123" s="1"/>
  <c r="I25" i="123" s="1"/>
  <c r="H40" i="123"/>
  <c r="J37" i="123"/>
  <c r="I37" i="123"/>
  <c r="K37" i="123" s="1"/>
  <c r="H37" i="123"/>
  <c r="N37" i="123" s="1"/>
  <c r="C37" i="123"/>
  <c r="J36" i="123"/>
  <c r="I36" i="123"/>
  <c r="K36" i="123" s="1"/>
  <c r="H36" i="123" s="1"/>
  <c r="N36" i="123" s="1"/>
  <c r="C36" i="123"/>
  <c r="M34" i="123"/>
  <c r="L34" i="123"/>
  <c r="J33" i="123"/>
  <c r="I33" i="123"/>
  <c r="K33" i="123"/>
  <c r="H33" i="123" s="1"/>
  <c r="N33" i="123" s="1"/>
  <c r="N31" i="123" s="1"/>
  <c r="C33" i="123"/>
  <c r="J32" i="123"/>
  <c r="J31" i="123" s="1"/>
  <c r="I32" i="123"/>
  <c r="K32" i="123" s="1"/>
  <c r="H32" i="123" s="1"/>
  <c r="N32" i="123" s="1"/>
  <c r="C32" i="123"/>
  <c r="M31" i="123"/>
  <c r="L31" i="123"/>
  <c r="I31" i="123"/>
  <c r="C29" i="123"/>
  <c r="H28" i="123"/>
  <c r="N28" i="123" s="1"/>
  <c r="G28" i="123"/>
  <c r="G29" i="123" s="1"/>
  <c r="J29" i="123" s="1"/>
  <c r="F28" i="123"/>
  <c r="C28" i="123"/>
  <c r="H27" i="123"/>
  <c r="N27" i="123" s="1"/>
  <c r="G27" i="123"/>
  <c r="J27" i="123" s="1"/>
  <c r="F27" i="123"/>
  <c r="I27" i="123" s="1"/>
  <c r="C27" i="123"/>
  <c r="H26" i="123"/>
  <c r="N26" i="123" s="1"/>
  <c r="G26" i="123"/>
  <c r="J26" i="123" s="1"/>
  <c r="C26" i="123"/>
  <c r="H25" i="123"/>
  <c r="N25" i="123" s="1"/>
  <c r="G25" i="123"/>
  <c r="J25" i="123" s="1"/>
  <c r="C25" i="123"/>
  <c r="E24" i="123"/>
  <c r="E35" i="123"/>
  <c r="D24" i="123"/>
  <c r="D35" i="123" s="1"/>
  <c r="I35" i="123" s="1"/>
  <c r="H13" i="123"/>
  <c r="G13" i="123"/>
  <c r="G12" i="123"/>
  <c r="G11" i="123"/>
  <c r="G10" i="123"/>
  <c r="G40" i="122"/>
  <c r="G63" i="122"/>
  <c r="G64" i="122"/>
  <c r="G65" i="122"/>
  <c r="G66" i="122"/>
  <c r="G62" i="122"/>
  <c r="F63" i="122"/>
  <c r="F64" i="122"/>
  <c r="H64" i="122" s="1"/>
  <c r="F65" i="122"/>
  <c r="F66" i="122"/>
  <c r="F62" i="122"/>
  <c r="E63" i="122"/>
  <c r="E64" i="122"/>
  <c r="F26" i="122" s="1"/>
  <c r="I26" i="122" s="1"/>
  <c r="E65" i="122"/>
  <c r="E66" i="122"/>
  <c r="E62" i="122"/>
  <c r="F25" i="122" s="1"/>
  <c r="I25" i="122" s="1"/>
  <c r="H27" i="122"/>
  <c r="H26" i="122"/>
  <c r="N26" i="122" s="1"/>
  <c r="H25" i="122"/>
  <c r="N25" i="122" s="1"/>
  <c r="H28" i="122"/>
  <c r="N28" i="122" s="1"/>
  <c r="G28" i="122"/>
  <c r="G27" i="122"/>
  <c r="J27" i="122" s="1"/>
  <c r="G26" i="122"/>
  <c r="J26" i="122" s="1"/>
  <c r="G25" i="122"/>
  <c r="J25" i="122" s="1"/>
  <c r="F28" i="122"/>
  <c r="F29" i="122" s="1"/>
  <c r="I29" i="122" s="1"/>
  <c r="F27" i="122"/>
  <c r="I27" i="122" s="1"/>
  <c r="K27" i="122" s="1"/>
  <c r="J37" i="122"/>
  <c r="I37" i="122"/>
  <c r="K37" i="122" s="1"/>
  <c r="H37" i="122" s="1"/>
  <c r="N37" i="122"/>
  <c r="C37" i="122"/>
  <c r="H40" i="122"/>
  <c r="I36" i="122"/>
  <c r="C36" i="122"/>
  <c r="M34" i="122"/>
  <c r="L34" i="122"/>
  <c r="J33" i="122"/>
  <c r="I33" i="122"/>
  <c r="K33" i="122" s="1"/>
  <c r="H33" i="122" s="1"/>
  <c r="N33" i="122" s="1"/>
  <c r="C33" i="122"/>
  <c r="I32" i="122"/>
  <c r="C32" i="122"/>
  <c r="M31" i="122"/>
  <c r="L31" i="122"/>
  <c r="H29" i="122"/>
  <c r="N29" i="122" s="1"/>
  <c r="C29" i="122"/>
  <c r="C28" i="122"/>
  <c r="N27" i="122"/>
  <c r="C27" i="122"/>
  <c r="C26" i="122"/>
  <c r="C25" i="122"/>
  <c r="E24" i="122"/>
  <c r="E35" i="122"/>
  <c r="D24" i="122"/>
  <c r="D35" i="122" s="1"/>
  <c r="C35" i="122" s="1"/>
  <c r="H13" i="122"/>
  <c r="G13" i="122"/>
  <c r="G12" i="122"/>
  <c r="G11" i="122"/>
  <c r="G10" i="122"/>
  <c r="H29" i="120" s="1"/>
  <c r="G28" i="120" s="1"/>
  <c r="F28" i="120" s="1"/>
  <c r="H27" i="120" s="1"/>
  <c r="G27" i="120" s="1"/>
  <c r="F27" i="120" s="1"/>
  <c r="H26" i="120" s="1"/>
  <c r="N26" i="120" s="1"/>
  <c r="G26" i="120"/>
  <c r="J26" i="120" s="1"/>
  <c r="F26" i="120" s="1"/>
  <c r="H25" i="120"/>
  <c r="N25" i="120" s="1"/>
  <c r="G25" i="120" s="1"/>
  <c r="J25" i="120" s="1"/>
  <c r="F25" i="120"/>
  <c r="H81" i="121"/>
  <c r="G81" i="121"/>
  <c r="E81" i="121"/>
  <c r="C81" i="121"/>
  <c r="H80" i="121"/>
  <c r="G80" i="121"/>
  <c r="E80" i="121"/>
  <c r="C80" i="121"/>
  <c r="H79" i="121"/>
  <c r="G79" i="121"/>
  <c r="E79" i="121"/>
  <c r="C79" i="121"/>
  <c r="H78" i="121"/>
  <c r="G78" i="121"/>
  <c r="E78" i="121"/>
  <c r="C78" i="121"/>
  <c r="H77" i="121"/>
  <c r="G77" i="121"/>
  <c r="E77" i="121"/>
  <c r="C77" i="121"/>
  <c r="H69" i="121"/>
  <c r="G69" i="121"/>
  <c r="E69" i="121"/>
  <c r="C69" i="121"/>
  <c r="H68" i="121"/>
  <c r="G68" i="121"/>
  <c r="E68" i="121"/>
  <c r="C68" i="121"/>
  <c r="H67" i="121"/>
  <c r="G67" i="121"/>
  <c r="E67" i="121"/>
  <c r="C67" i="121"/>
  <c r="H66" i="121"/>
  <c r="G66" i="121"/>
  <c r="E66" i="121"/>
  <c r="C66" i="121"/>
  <c r="H65" i="121"/>
  <c r="G65" i="121"/>
  <c r="E65" i="121"/>
  <c r="C65" i="121"/>
  <c r="H57" i="121"/>
  <c r="G57" i="121"/>
  <c r="E57" i="121"/>
  <c r="C57" i="121"/>
  <c r="H56" i="121"/>
  <c r="G56" i="121"/>
  <c r="E56" i="121"/>
  <c r="C56" i="121"/>
  <c r="H55" i="121"/>
  <c r="G55" i="121"/>
  <c r="E55" i="121"/>
  <c r="C55" i="121"/>
  <c r="H54" i="121"/>
  <c r="G54" i="121"/>
  <c r="E54" i="121"/>
  <c r="C54" i="121"/>
  <c r="H53" i="121"/>
  <c r="G53" i="121"/>
  <c r="E53" i="121"/>
  <c r="C53" i="121"/>
  <c r="H46" i="121"/>
  <c r="G46" i="121"/>
  <c r="E46" i="121"/>
  <c r="C46" i="121"/>
  <c r="H45" i="121"/>
  <c r="G45" i="121"/>
  <c r="E45" i="121"/>
  <c r="C45" i="121"/>
  <c r="H44" i="121"/>
  <c r="G44" i="121"/>
  <c r="E44" i="121"/>
  <c r="C44" i="121"/>
  <c r="H43" i="121"/>
  <c r="G43" i="121"/>
  <c r="E43" i="121"/>
  <c r="C43" i="121"/>
  <c r="H42" i="121"/>
  <c r="G42" i="121"/>
  <c r="E42" i="121"/>
  <c r="C42" i="121"/>
  <c r="H35" i="121"/>
  <c r="H34" i="121"/>
  <c r="H33" i="121"/>
  <c r="H32" i="121"/>
  <c r="H31" i="121"/>
  <c r="G35" i="121" s="1"/>
  <c r="E35" i="121" s="1"/>
  <c r="E34" i="121" s="1"/>
  <c r="E33" i="121" s="1"/>
  <c r="E32" i="121" s="1"/>
  <c r="E31" i="121" s="1"/>
  <c r="H13" i="121"/>
  <c r="L34" i="121" s="1"/>
  <c r="K34" i="121" s="1"/>
  <c r="J34" i="121" s="1"/>
  <c r="L33" i="121" s="1"/>
  <c r="K33" i="121" s="1"/>
  <c r="J33" i="121" s="1"/>
  <c r="L32" i="121" s="1"/>
  <c r="K32" i="121" s="1"/>
  <c r="J32" i="121" s="1"/>
  <c r="L31" i="121" s="1"/>
  <c r="K31" i="121" s="1"/>
  <c r="J31" i="121" s="1"/>
  <c r="D26" i="120"/>
  <c r="D25" i="120"/>
  <c r="J37" i="120"/>
  <c r="I37" i="120"/>
  <c r="K37" i="120" s="1"/>
  <c r="H37" i="120" s="1"/>
  <c r="N37" i="120" s="1"/>
  <c r="C37" i="120"/>
  <c r="E36" i="120"/>
  <c r="D36" i="120"/>
  <c r="I36" i="120" s="1"/>
  <c r="M34" i="120"/>
  <c r="L34" i="120"/>
  <c r="J33" i="120"/>
  <c r="I33" i="120"/>
  <c r="C33" i="120"/>
  <c r="M31" i="120"/>
  <c r="L31" i="120"/>
  <c r="H13" i="120"/>
  <c r="G13" i="120"/>
  <c r="G12" i="120"/>
  <c r="G11" i="120"/>
  <c r="G10" i="120"/>
  <c r="G28" i="119"/>
  <c r="J28" i="119" s="1"/>
  <c r="F28" i="119"/>
  <c r="H27" i="119"/>
  <c r="N27" i="119" s="1"/>
  <c r="F27" i="119"/>
  <c r="I27" i="119" s="1"/>
  <c r="G26" i="119"/>
  <c r="J26" i="119" s="1"/>
  <c r="H63" i="119"/>
  <c r="H25" i="119"/>
  <c r="N25" i="119" s="1"/>
  <c r="F25" i="119"/>
  <c r="I25" i="119" s="1"/>
  <c r="J37" i="119"/>
  <c r="I37" i="119"/>
  <c r="K37" i="119" s="1"/>
  <c r="H37" i="119" s="1"/>
  <c r="N37" i="119" s="1"/>
  <c r="C37" i="119"/>
  <c r="E36" i="119"/>
  <c r="D36" i="119"/>
  <c r="I36" i="119" s="1"/>
  <c r="I35" i="119"/>
  <c r="K35" i="119" s="1"/>
  <c r="H35" i="119" s="1"/>
  <c r="M34" i="119"/>
  <c r="L34" i="119"/>
  <c r="J33" i="119"/>
  <c r="I33" i="119"/>
  <c r="K33" i="119" s="1"/>
  <c r="H33" i="119" s="1"/>
  <c r="N33" i="119" s="1"/>
  <c r="C33" i="119"/>
  <c r="M31" i="119"/>
  <c r="L31" i="119"/>
  <c r="C29" i="119"/>
  <c r="C28" i="119"/>
  <c r="C27" i="119"/>
  <c r="C25" i="119"/>
  <c r="D24" i="119"/>
  <c r="J19" i="119"/>
  <c r="H13" i="119"/>
  <c r="G13" i="119"/>
  <c r="G12" i="119"/>
  <c r="G11" i="119"/>
  <c r="G10" i="119"/>
  <c r="E36" i="80"/>
  <c r="C36" i="80" s="1"/>
  <c r="D36" i="80"/>
  <c r="I36" i="80" s="1"/>
  <c r="L39" i="118"/>
  <c r="G39" i="118"/>
  <c r="D35" i="118"/>
  <c r="D23" i="118" s="1"/>
  <c r="C35" i="118"/>
  <c r="E25" i="80"/>
  <c r="K23" i="118"/>
  <c r="H23" i="118"/>
  <c r="C35" i="119"/>
  <c r="L22" i="118"/>
  <c r="G22" i="118"/>
  <c r="F21" i="118"/>
  <c r="E21" i="118"/>
  <c r="C21" i="118"/>
  <c r="G21" i="118" s="1"/>
  <c r="L20" i="118"/>
  <c r="G20" i="118"/>
  <c r="I19" i="118"/>
  <c r="D19" i="118"/>
  <c r="N17" i="118" s="1"/>
  <c r="N18" i="118"/>
  <c r="G18" i="118"/>
  <c r="J19" i="118"/>
  <c r="H19" i="118"/>
  <c r="E19" i="118"/>
  <c r="C19" i="118"/>
  <c r="L15" i="118"/>
  <c r="G15" i="118"/>
  <c r="K11" i="118"/>
  <c r="J11" i="118"/>
  <c r="F11" i="118"/>
  <c r="E11" i="118"/>
  <c r="D11" i="118"/>
  <c r="H26" i="80"/>
  <c r="H27" i="80" s="1"/>
  <c r="H29" i="80" s="1"/>
  <c r="H25" i="80" s="1"/>
  <c r="G26" i="80"/>
  <c r="G27" i="80"/>
  <c r="G28" i="80"/>
  <c r="F26" i="80" s="1"/>
  <c r="F27" i="80" s="1"/>
  <c r="F28" i="80" s="1"/>
  <c r="G25" i="80"/>
  <c r="E34" i="96"/>
  <c r="D30" i="103"/>
  <c r="D43" i="130"/>
  <c r="D41" i="130" s="1"/>
  <c r="F30" i="103"/>
  <c r="F28" i="103" s="1"/>
  <c r="E33" i="96"/>
  <c r="I84" i="95"/>
  <c r="H44" i="115"/>
  <c r="E44" i="115"/>
  <c r="J59" i="95"/>
  <c r="K54" i="95"/>
  <c r="J54" i="95"/>
  <c r="K49" i="95"/>
  <c r="J49" i="95"/>
  <c r="K47" i="95"/>
  <c r="J47" i="95"/>
  <c r="K45" i="95"/>
  <c r="J45" i="95"/>
  <c r="J44" i="95"/>
  <c r="K41" i="95"/>
  <c r="J41" i="95"/>
  <c r="K37" i="95"/>
  <c r="J37" i="95"/>
  <c r="K42" i="95"/>
  <c r="J42" i="95"/>
  <c r="D83" i="95"/>
  <c r="J84" i="95"/>
  <c r="D11" i="87"/>
  <c r="F10" i="87"/>
  <c r="F11" i="87" s="1"/>
  <c r="E10" i="87"/>
  <c r="D11" i="112"/>
  <c r="F10" i="112"/>
  <c r="E10" i="112"/>
  <c r="J86" i="95"/>
  <c r="J28" i="95"/>
  <c r="H75" i="95"/>
  <c r="E75" i="95"/>
  <c r="D100" i="99"/>
  <c r="D69" i="99"/>
  <c r="H69" i="99" s="1"/>
  <c r="C69" i="99"/>
  <c r="D71" i="99"/>
  <c r="D24" i="99" s="1"/>
  <c r="C71" i="99"/>
  <c r="H71" i="99"/>
  <c r="D73" i="99"/>
  <c r="C73" i="99"/>
  <c r="C26" i="99" s="1"/>
  <c r="D116" i="99"/>
  <c r="C116" i="99"/>
  <c r="C114" i="99" s="1"/>
  <c r="C100" i="99"/>
  <c r="C83" i="99"/>
  <c r="C80" i="99"/>
  <c r="C14" i="99"/>
  <c r="E33" i="124" s="1"/>
  <c r="N33" i="124" s="1"/>
  <c r="F24" i="87"/>
  <c r="B24" i="87" s="1"/>
  <c r="F25" i="87"/>
  <c r="E25" i="87"/>
  <c r="E24" i="87"/>
  <c r="D21" i="87"/>
  <c r="E21" i="87"/>
  <c r="E17" i="87" s="1"/>
  <c r="C113" i="99" s="1"/>
  <c r="F21" i="87"/>
  <c r="F17" i="87" s="1"/>
  <c r="D22" i="87"/>
  <c r="E22" i="87"/>
  <c r="F22" i="87"/>
  <c r="F18" i="87" s="1"/>
  <c r="D134" i="99" s="1"/>
  <c r="C22" i="87"/>
  <c r="C18" i="87" s="1"/>
  <c r="C21" i="87"/>
  <c r="C46" i="114"/>
  <c r="H45" i="114"/>
  <c r="H44" i="114"/>
  <c r="H43" i="114"/>
  <c r="H42" i="114"/>
  <c r="H41" i="114"/>
  <c r="H40" i="114"/>
  <c r="H39" i="114"/>
  <c r="D38" i="114"/>
  <c r="H38" i="114"/>
  <c r="K37" i="114"/>
  <c r="J37" i="114"/>
  <c r="D47" i="114"/>
  <c r="C47" i="114"/>
  <c r="H47" i="114" s="1"/>
  <c r="H36" i="114"/>
  <c r="G36" i="114"/>
  <c r="F36" i="114"/>
  <c r="H35" i="114"/>
  <c r="D34" i="114"/>
  <c r="D19" i="114" s="1"/>
  <c r="C34" i="114"/>
  <c r="H34" i="114" s="1"/>
  <c r="C19" i="114"/>
  <c r="H19" i="114" s="1"/>
  <c r="H33" i="114"/>
  <c r="J32" i="114"/>
  <c r="H32" i="114"/>
  <c r="G32" i="114"/>
  <c r="A32" i="114"/>
  <c r="A35" i="114"/>
  <c r="A37" i="114"/>
  <c r="A38" i="114" s="1"/>
  <c r="A39" i="114" s="1"/>
  <c r="A40" i="114" s="1"/>
  <c r="A41" i="114" s="1"/>
  <c r="A42" i="114" s="1"/>
  <c r="A43" i="114" s="1"/>
  <c r="A44" i="114" s="1"/>
  <c r="C29" i="114"/>
  <c r="H29" i="114" s="1"/>
  <c r="H28" i="114"/>
  <c r="D29" i="114"/>
  <c r="H26" i="114"/>
  <c r="H23" i="114"/>
  <c r="H22" i="114"/>
  <c r="D20" i="114"/>
  <c r="H8" i="113"/>
  <c r="G8" i="113"/>
  <c r="J29" i="113"/>
  <c r="J27" i="113"/>
  <c r="H27" i="113"/>
  <c r="B24" i="113"/>
  <c r="B23" i="113"/>
  <c r="B21" i="113"/>
  <c r="B20" i="113"/>
  <c r="J15" i="113"/>
  <c r="I17" i="113"/>
  <c r="I21" i="113" s="1"/>
  <c r="H17" i="113"/>
  <c r="I19" i="113" s="1"/>
  <c r="H16" i="113"/>
  <c r="G16" i="113"/>
  <c r="D11" i="113"/>
  <c r="C11" i="113"/>
  <c r="F10" i="113"/>
  <c r="D10" i="113"/>
  <c r="F22" i="112"/>
  <c r="F18" i="112" s="1"/>
  <c r="F21" i="112"/>
  <c r="E22" i="112"/>
  <c r="B22" i="112" s="1"/>
  <c r="E21" i="112"/>
  <c r="D27" i="112"/>
  <c r="E102" i="112"/>
  <c r="D102" i="112"/>
  <c r="F31" i="112"/>
  <c r="C31" i="112"/>
  <c r="B31" i="112" s="1"/>
  <c r="F30" i="112"/>
  <c r="C30" i="112"/>
  <c r="B30" i="112"/>
  <c r="I25" i="112"/>
  <c r="H25" i="112"/>
  <c r="B25" i="112"/>
  <c r="B24" i="112"/>
  <c r="C18" i="112"/>
  <c r="C17" i="112"/>
  <c r="B14" i="112"/>
  <c r="B13" i="112"/>
  <c r="J10" i="112"/>
  <c r="J9" i="112"/>
  <c r="J10" i="87"/>
  <c r="J9" i="87"/>
  <c r="F31" i="87"/>
  <c r="D137" i="99" s="1"/>
  <c r="F30" i="87"/>
  <c r="C137" i="99"/>
  <c r="C31" i="87"/>
  <c r="B31" i="87" s="1"/>
  <c r="C30" i="87"/>
  <c r="F12" i="64"/>
  <c r="E26" i="95"/>
  <c r="I23" i="95"/>
  <c r="I22" i="95"/>
  <c r="I24" i="95"/>
  <c r="E29" i="96"/>
  <c r="B10" i="64"/>
  <c r="E10" i="64"/>
  <c r="E15" i="64"/>
  <c r="E14" i="64"/>
  <c r="E13" i="64"/>
  <c r="E28" i="96" s="1"/>
  <c r="I19" i="95"/>
  <c r="G8" i="103"/>
  <c r="I19" i="119" s="1"/>
  <c r="K19" i="119" s="1"/>
  <c r="D28" i="103"/>
  <c r="E16" i="103"/>
  <c r="D16" i="103"/>
  <c r="D14" i="103"/>
  <c r="H42" i="103"/>
  <c r="D10" i="103"/>
  <c r="D114" i="99"/>
  <c r="D26" i="99"/>
  <c r="H73" i="99"/>
  <c r="J62" i="99"/>
  <c r="D22" i="79"/>
  <c r="D25" i="79" s="1"/>
  <c r="F33" i="79"/>
  <c r="F36" i="79" s="1"/>
  <c r="J11" i="79"/>
  <c r="I11" i="79"/>
  <c r="F13" i="79"/>
  <c r="F12" i="79"/>
  <c r="F11" i="79"/>
  <c r="F10" i="79"/>
  <c r="F9" i="79"/>
  <c r="E7" i="97"/>
  <c r="F7" i="97"/>
  <c r="G7" i="97"/>
  <c r="D7" i="97"/>
  <c r="I13" i="97"/>
  <c r="I6" i="97"/>
  <c r="J6" i="97"/>
  <c r="J7" i="97"/>
  <c r="H6" i="97"/>
  <c r="H7" i="97" s="1"/>
  <c r="E10" i="96"/>
  <c r="E18" i="96"/>
  <c r="E9" i="96" s="1"/>
  <c r="I26" i="96"/>
  <c r="I7" i="64"/>
  <c r="F9" i="64"/>
  <c r="H26" i="95"/>
  <c r="I25" i="95"/>
  <c r="I15" i="95"/>
  <c r="J15" i="95" s="1"/>
  <c r="I12" i="95"/>
  <c r="I10" i="95"/>
  <c r="I8" i="95"/>
  <c r="C12" i="62"/>
  <c r="C11" i="62"/>
  <c r="C10" i="62"/>
  <c r="C9" i="62"/>
  <c r="C14" i="62" s="1"/>
  <c r="G18" i="62"/>
  <c r="H18" i="62"/>
  <c r="E17" i="62"/>
  <c r="E18" i="62" s="1"/>
  <c r="D24" i="79"/>
  <c r="D23" i="79"/>
  <c r="J33" i="79"/>
  <c r="G22" i="79"/>
  <c r="G33" i="79" s="1"/>
  <c r="L9" i="79"/>
  <c r="N9" i="79"/>
  <c r="E102" i="87"/>
  <c r="D102" i="87"/>
  <c r="B27" i="87"/>
  <c r="I21" i="79"/>
  <c r="I20" i="79"/>
  <c r="F21" i="79"/>
  <c r="F20" i="79"/>
  <c r="H13" i="80"/>
  <c r="G13" i="80"/>
  <c r="G12" i="80"/>
  <c r="G11" i="80"/>
  <c r="G10" i="80"/>
  <c r="F14" i="79"/>
  <c r="L21" i="79"/>
  <c r="L20" i="79"/>
  <c r="J9" i="79"/>
  <c r="J10" i="79"/>
  <c r="J21" i="79"/>
  <c r="K6" i="97"/>
  <c r="K7" i="97"/>
  <c r="D34" i="79"/>
  <c r="G26" i="79"/>
  <c r="M34" i="80"/>
  <c r="D33" i="79"/>
  <c r="L34" i="80"/>
  <c r="M31" i="80"/>
  <c r="L31" i="80"/>
  <c r="G24" i="79"/>
  <c r="C35" i="79"/>
  <c r="C36" i="79" s="1"/>
  <c r="E17" i="64"/>
  <c r="M9" i="79"/>
  <c r="G23" i="79"/>
  <c r="K33" i="79" s="1"/>
  <c r="D26" i="79"/>
  <c r="H24" i="79"/>
  <c r="I24" i="79" s="1"/>
  <c r="E24" i="79"/>
  <c r="F24" i="79" s="1"/>
  <c r="E26" i="79"/>
  <c r="H26" i="79"/>
  <c r="I7" i="79"/>
  <c r="I13" i="79"/>
  <c r="I26" i="79"/>
  <c r="F26" i="79"/>
  <c r="C24" i="99"/>
  <c r="C22" i="99"/>
  <c r="J14" i="103" s="1"/>
  <c r="C37" i="80"/>
  <c r="I7" i="97"/>
  <c r="B30" i="87"/>
  <c r="C17" i="87"/>
  <c r="H12" i="87" s="1"/>
  <c r="D18" i="87"/>
  <c r="E18" i="112"/>
  <c r="D28" i="120"/>
  <c r="B28" i="87"/>
  <c r="H100" i="99"/>
  <c r="H85" i="99"/>
  <c r="D83" i="99"/>
  <c r="D80" i="99"/>
  <c r="H27" i="114"/>
  <c r="H37" i="114"/>
  <c r="B18" i="113"/>
  <c r="E11" i="113"/>
  <c r="C10" i="113"/>
  <c r="E10" i="113"/>
  <c r="B14" i="113"/>
  <c r="B17" i="113"/>
  <c r="G18" i="113" s="1"/>
  <c r="B15" i="113"/>
  <c r="F11" i="113"/>
  <c r="I16" i="113"/>
  <c r="I30" i="113"/>
  <c r="J33" i="80"/>
  <c r="C33" i="80"/>
  <c r="I33" i="80"/>
  <c r="K33" i="80" s="1"/>
  <c r="H33" i="80" s="1"/>
  <c r="N33" i="80" s="1"/>
  <c r="S80" i="95"/>
  <c r="J37" i="80"/>
  <c r="J35" i="119"/>
  <c r="C26" i="119"/>
  <c r="E24" i="119"/>
  <c r="I37" i="80"/>
  <c r="K37" i="80" s="1"/>
  <c r="H37" i="80" s="1"/>
  <c r="N37" i="80" s="1"/>
  <c r="H9" i="121"/>
  <c r="H10" i="121"/>
  <c r="H11" i="121"/>
  <c r="H12" i="121"/>
  <c r="E20" i="121"/>
  <c r="H20" i="121"/>
  <c r="E21" i="121"/>
  <c r="H21" i="121"/>
  <c r="E22" i="121"/>
  <c r="H22" i="121"/>
  <c r="E23" i="121"/>
  <c r="H23" i="121"/>
  <c r="K31" i="123"/>
  <c r="J28" i="123"/>
  <c r="J32" i="122"/>
  <c r="J31" i="122" s="1"/>
  <c r="J35" i="122"/>
  <c r="J34" i="122" s="1"/>
  <c r="J36" i="122"/>
  <c r="K32" i="122"/>
  <c r="H28" i="80"/>
  <c r="J38" i="128"/>
  <c r="J39" i="128"/>
  <c r="J32" i="128"/>
  <c r="N32" i="127"/>
  <c r="C33" i="127"/>
  <c r="D24" i="125"/>
  <c r="C27" i="125"/>
  <c r="J27" i="125"/>
  <c r="K27" i="125" s="1"/>
  <c r="J28" i="125"/>
  <c r="H32" i="125"/>
  <c r="N32" i="125" s="1"/>
  <c r="N39" i="125"/>
  <c r="J25" i="125"/>
  <c r="J23" i="125" s="1"/>
  <c r="C26" i="125"/>
  <c r="J26" i="125"/>
  <c r="C28" i="125"/>
  <c r="C33" i="125"/>
  <c r="J33" i="125"/>
  <c r="J38" i="125"/>
  <c r="E31" i="96"/>
  <c r="D26" i="80"/>
  <c r="D25" i="80"/>
  <c r="D14" i="99"/>
  <c r="D29" i="80"/>
  <c r="D27" i="80" s="1"/>
  <c r="H46" i="114"/>
  <c r="C20" i="114"/>
  <c r="F11" i="112"/>
  <c r="E41" i="120"/>
  <c r="E41" i="119"/>
  <c r="O19" i="119" s="1"/>
  <c r="E41" i="80"/>
  <c r="I19" i="120"/>
  <c r="I19" i="80"/>
  <c r="J33" i="124"/>
  <c r="J31" i="124" s="1"/>
  <c r="I11" i="118"/>
  <c r="C23" i="118"/>
  <c r="H65" i="120"/>
  <c r="C25" i="124"/>
  <c r="C27" i="124"/>
  <c r="E50" i="129"/>
  <c r="E64" i="128"/>
  <c r="E51" i="129"/>
  <c r="E65" i="128"/>
  <c r="E52" i="129"/>
  <c r="E66" i="128"/>
  <c r="F26" i="128" s="1"/>
  <c r="L6" i="97"/>
  <c r="L7" i="97"/>
  <c r="M6" i="97"/>
  <c r="M7" i="97" s="1"/>
  <c r="F17" i="112"/>
  <c r="D84" i="95"/>
  <c r="S84" i="95" s="1"/>
  <c r="H66" i="119"/>
  <c r="C26" i="120"/>
  <c r="H62" i="120"/>
  <c r="I28" i="122"/>
  <c r="K28" i="122" s="1"/>
  <c r="F55" i="130"/>
  <c r="J55" i="130" s="1"/>
  <c r="K55" i="130" s="1"/>
  <c r="F53" i="130"/>
  <c r="F44" i="130"/>
  <c r="F42" i="130"/>
  <c r="J44" i="130"/>
  <c r="F29" i="130"/>
  <c r="F40" i="130"/>
  <c r="F27" i="130" s="1"/>
  <c r="F31" i="130"/>
  <c r="F35" i="130"/>
  <c r="F39" i="130"/>
  <c r="F33" i="130"/>
  <c r="F37" i="130"/>
  <c r="F28" i="130"/>
  <c r="F30" i="130"/>
  <c r="F32" i="130"/>
  <c r="F34" i="130"/>
  <c r="F36" i="130"/>
  <c r="F51" i="130"/>
  <c r="F26" i="130"/>
  <c r="D16" i="135" s="1"/>
  <c r="J23" i="118"/>
  <c r="E23" i="130"/>
  <c r="E45" i="130"/>
  <c r="E56" i="130"/>
  <c r="E27" i="130"/>
  <c r="H65" i="80"/>
  <c r="H28" i="120"/>
  <c r="H66" i="80"/>
  <c r="G14" i="118"/>
  <c r="C11" i="118"/>
  <c r="F19" i="118"/>
  <c r="C32" i="121"/>
  <c r="C21" i="121"/>
  <c r="G32" i="121"/>
  <c r="G21" i="121"/>
  <c r="C34" i="121"/>
  <c r="C23" i="121"/>
  <c r="G34" i="121"/>
  <c r="G23" i="121"/>
  <c r="I37" i="124"/>
  <c r="E35" i="129"/>
  <c r="C35" i="127"/>
  <c r="N35" i="128"/>
  <c r="J35" i="128"/>
  <c r="E32" i="129"/>
  <c r="C32" i="129" s="1"/>
  <c r="J32" i="127"/>
  <c r="J32" i="129" s="1"/>
  <c r="N38" i="128"/>
  <c r="D38" i="127"/>
  <c r="D38" i="129"/>
  <c r="I38" i="125"/>
  <c r="C38" i="125"/>
  <c r="F25" i="80"/>
  <c r="I25" i="80"/>
  <c r="H62" i="80"/>
  <c r="L14" i="118"/>
  <c r="H11" i="118"/>
  <c r="K19" i="118"/>
  <c r="L17" i="118"/>
  <c r="F26" i="119"/>
  <c r="I26" i="119"/>
  <c r="G27" i="119"/>
  <c r="J27" i="119" s="1"/>
  <c r="H29" i="119"/>
  <c r="N29" i="119"/>
  <c r="H28" i="119"/>
  <c r="N28" i="119" s="1"/>
  <c r="C31" i="121"/>
  <c r="C20" i="121"/>
  <c r="G31" i="121"/>
  <c r="G20" i="121"/>
  <c r="C33" i="121"/>
  <c r="C22" i="121"/>
  <c r="G33" i="121"/>
  <c r="G22" i="121"/>
  <c r="C35" i="121"/>
  <c r="H24" i="121"/>
  <c r="H66" i="120"/>
  <c r="E33" i="129"/>
  <c r="C33" i="129" s="1"/>
  <c r="N33" i="128"/>
  <c r="L21" i="118"/>
  <c r="D38" i="128"/>
  <c r="F18" i="135"/>
  <c r="E38" i="135"/>
  <c r="P18" i="118"/>
  <c r="E12" i="135"/>
  <c r="E11" i="135" s="1"/>
  <c r="H63" i="120"/>
  <c r="P17" i="118"/>
  <c r="D29" i="120"/>
  <c r="D27" i="120" s="1"/>
  <c r="B21" i="112"/>
  <c r="E17" i="112"/>
  <c r="B10" i="112"/>
  <c r="E11" i="112"/>
  <c r="B11" i="112"/>
  <c r="D28" i="80"/>
  <c r="E25" i="96"/>
  <c r="E25" i="103"/>
  <c r="G36" i="96"/>
  <c r="E28" i="129"/>
  <c r="C26" i="127"/>
  <c r="H65" i="119"/>
  <c r="H64" i="119"/>
  <c r="H64" i="80"/>
  <c r="H64" i="120"/>
  <c r="H62" i="119"/>
  <c r="B35" i="79"/>
  <c r="H137" i="99"/>
  <c r="E32" i="120"/>
  <c r="D32" i="119"/>
  <c r="I32" i="119" s="1"/>
  <c r="D135" i="99"/>
  <c r="G29" i="122"/>
  <c r="J29" i="122" s="1"/>
  <c r="J28" i="122"/>
  <c r="F29" i="124"/>
  <c r="I29" i="124" s="1"/>
  <c r="F25" i="128"/>
  <c r="I25" i="128" s="1"/>
  <c r="H25" i="87"/>
  <c r="H62" i="123"/>
  <c r="H28" i="127"/>
  <c r="H68" i="127"/>
  <c r="C39" i="127"/>
  <c r="E32" i="119"/>
  <c r="J32" i="119" s="1"/>
  <c r="D28" i="99"/>
  <c r="H64" i="125"/>
  <c r="I39" i="128"/>
  <c r="D24" i="127"/>
  <c r="D37" i="127" s="1"/>
  <c r="J32" i="120"/>
  <c r="J31" i="120" s="1"/>
  <c r="B36" i="79"/>
  <c r="M11" i="79"/>
  <c r="E23" i="79" s="1"/>
  <c r="F23" i="79" s="1"/>
  <c r="L11" i="79"/>
  <c r="N11" i="79" s="1"/>
  <c r="E22" i="79"/>
  <c r="E25" i="79" s="1"/>
  <c r="H63" i="80"/>
  <c r="J36" i="79"/>
  <c r="G29" i="119"/>
  <c r="J29" i="119"/>
  <c r="I28" i="119"/>
  <c r="F29" i="119"/>
  <c r="I29" i="119" s="1"/>
  <c r="K29" i="119" s="1"/>
  <c r="D27" i="130"/>
  <c r="I38" i="127"/>
  <c r="C38" i="127"/>
  <c r="H20" i="114"/>
  <c r="C21" i="114"/>
  <c r="H21" i="114" s="1"/>
  <c r="K33" i="125"/>
  <c r="D33" i="124"/>
  <c r="K36" i="122"/>
  <c r="H36" i="122" s="1"/>
  <c r="N36" i="122" s="1"/>
  <c r="N35" i="119"/>
  <c r="D21" i="114"/>
  <c r="D24" i="114" s="1"/>
  <c r="D30" i="114" s="1"/>
  <c r="D48" i="114"/>
  <c r="I2" i="87"/>
  <c r="G21" i="114"/>
  <c r="C66" i="99"/>
  <c r="K28" i="125"/>
  <c r="N39" i="127"/>
  <c r="N39" i="129" s="1"/>
  <c r="E29" i="129"/>
  <c r="C29" i="129" s="1"/>
  <c r="C28" i="127"/>
  <c r="I32" i="127"/>
  <c r="C29" i="128"/>
  <c r="H22" i="79"/>
  <c r="H25" i="79" s="1"/>
  <c r="K28" i="119"/>
  <c r="H33" i="125"/>
  <c r="N33" i="125" s="1"/>
  <c r="I33" i="124"/>
  <c r="I31" i="124" s="1"/>
  <c r="I38" i="128" l="1"/>
  <c r="I38" i="129" s="1"/>
  <c r="K38" i="129" s="1"/>
  <c r="C38" i="128"/>
  <c r="D34" i="125"/>
  <c r="D37" i="125"/>
  <c r="I37" i="125" s="1"/>
  <c r="K31" i="122"/>
  <c r="H32" i="122"/>
  <c r="N32" i="122" s="1"/>
  <c r="N31" i="122" s="1"/>
  <c r="F26" i="127"/>
  <c r="I26" i="127" s="1"/>
  <c r="H66" i="127"/>
  <c r="G27" i="127"/>
  <c r="J27" i="127" s="1"/>
  <c r="K27" i="127" s="1"/>
  <c r="H67" i="127"/>
  <c r="C24" i="114"/>
  <c r="G20" i="114"/>
  <c r="G29" i="80"/>
  <c r="D35" i="79"/>
  <c r="M35" i="79" s="1"/>
  <c r="C29" i="125"/>
  <c r="D28" i="112"/>
  <c r="D17" i="112"/>
  <c r="B17" i="112" s="1"/>
  <c r="I6" i="112" s="1"/>
  <c r="J6" i="112" s="1"/>
  <c r="B27" i="112"/>
  <c r="I31" i="122"/>
  <c r="F19" i="135"/>
  <c r="E24" i="96"/>
  <c r="H25" i="96" s="1"/>
  <c r="E16" i="64"/>
  <c r="K29" i="125"/>
  <c r="N28" i="127"/>
  <c r="H29" i="127"/>
  <c r="C28" i="124"/>
  <c r="J77" i="95"/>
  <c r="I42" i="96" s="1"/>
  <c r="D29" i="95"/>
  <c r="C31" i="95" s="1"/>
  <c r="I34" i="123"/>
  <c r="E24" i="128"/>
  <c r="C25" i="128"/>
  <c r="F22" i="79"/>
  <c r="F25" i="79" s="1"/>
  <c r="D36" i="124"/>
  <c r="C36" i="124" s="1"/>
  <c r="H23" i="79"/>
  <c r="I23" i="79" s="1"/>
  <c r="E32" i="80"/>
  <c r="C28" i="99"/>
  <c r="C135" i="99"/>
  <c r="J36" i="80"/>
  <c r="K36" i="80" s="1"/>
  <c r="H36" i="80" s="1"/>
  <c r="N36" i="80" s="1"/>
  <c r="C36" i="120"/>
  <c r="J36" i="120"/>
  <c r="C25" i="120"/>
  <c r="I25" i="120"/>
  <c r="K25" i="120" s="1"/>
  <c r="I35" i="122"/>
  <c r="J35" i="123"/>
  <c r="J34" i="123" s="1"/>
  <c r="C35" i="123"/>
  <c r="C29" i="124"/>
  <c r="E24" i="124"/>
  <c r="E36" i="124" s="1"/>
  <c r="J36" i="124" s="1"/>
  <c r="I23" i="125"/>
  <c r="K23" i="125" s="1"/>
  <c r="K25" i="125"/>
  <c r="F33" i="103"/>
  <c r="G45" i="130"/>
  <c r="G71" i="130" s="1"/>
  <c r="C15" i="76"/>
  <c r="D15" i="76" s="1"/>
  <c r="L14" i="97"/>
  <c r="J25" i="80"/>
  <c r="F29" i="123"/>
  <c r="I29" i="123" s="1"/>
  <c r="I28" i="123"/>
  <c r="K28" i="123" s="1"/>
  <c r="C33" i="124"/>
  <c r="I12" i="99"/>
  <c r="I31" i="119"/>
  <c r="G11" i="118"/>
  <c r="D32" i="80"/>
  <c r="I32" i="80" s="1"/>
  <c r="D32" i="120"/>
  <c r="I32" i="120" s="1"/>
  <c r="B25" i="87"/>
  <c r="G25" i="87" s="1"/>
  <c r="B10" i="87"/>
  <c r="E11" i="87"/>
  <c r="B11" i="87" s="1"/>
  <c r="I10" i="87"/>
  <c r="I11" i="87" s="1"/>
  <c r="H40" i="119"/>
  <c r="C36" i="119"/>
  <c r="J36" i="119"/>
  <c r="J34" i="119" s="1"/>
  <c r="K33" i="120"/>
  <c r="H33" i="120" s="1"/>
  <c r="N33" i="120" s="1"/>
  <c r="K34" i="124"/>
  <c r="H34" i="124" s="1"/>
  <c r="N34" i="124" s="1"/>
  <c r="N31" i="124" s="1"/>
  <c r="N25" i="125"/>
  <c r="N23" i="125" s="1"/>
  <c r="C25" i="125"/>
  <c r="E24" i="125"/>
  <c r="J26" i="128"/>
  <c r="J26" i="129" s="1"/>
  <c r="K26" i="129" s="1"/>
  <c r="D24" i="129"/>
  <c r="D37" i="129" s="1"/>
  <c r="I37" i="129" s="1"/>
  <c r="E25" i="129"/>
  <c r="C25" i="129" s="1"/>
  <c r="H62" i="130"/>
  <c r="F13" i="135"/>
  <c r="F21" i="135"/>
  <c r="H65" i="125"/>
  <c r="N27" i="127"/>
  <c r="C26" i="128"/>
  <c r="E26" i="129"/>
  <c r="E24" i="127"/>
  <c r="E42" i="127" s="1"/>
  <c r="H71" i="130"/>
  <c r="L11" i="118"/>
  <c r="I26" i="128"/>
  <c r="C25" i="80"/>
  <c r="D9" i="103"/>
  <c r="E18" i="87"/>
  <c r="D113" i="99" s="1"/>
  <c r="H65" i="122"/>
  <c r="H66" i="122"/>
  <c r="N27" i="124"/>
  <c r="N23" i="124" s="1"/>
  <c r="H64" i="124"/>
  <c r="N26" i="127"/>
  <c r="N25" i="128"/>
  <c r="C28" i="128"/>
  <c r="F9" i="103"/>
  <c r="F8" i="103" s="1"/>
  <c r="E62" i="130"/>
  <c r="E71" i="130" s="1"/>
  <c r="B10" i="113"/>
  <c r="H2" i="113" s="1"/>
  <c r="H1" i="99" s="1"/>
  <c r="C63" i="99" s="1"/>
  <c r="B11" i="113"/>
  <c r="K36" i="120"/>
  <c r="H36" i="120" s="1"/>
  <c r="N36" i="120" s="1"/>
  <c r="J25" i="124"/>
  <c r="I28" i="124"/>
  <c r="H66" i="125"/>
  <c r="H67" i="125"/>
  <c r="N26" i="128"/>
  <c r="H53" i="129"/>
  <c r="C27" i="127"/>
  <c r="D23" i="130"/>
  <c r="F26" i="118"/>
  <c r="L35" i="118"/>
  <c r="D24" i="120"/>
  <c r="J39" i="127"/>
  <c r="L23" i="118"/>
  <c r="L26" i="118"/>
  <c r="C32" i="127"/>
  <c r="K39" i="127"/>
  <c r="L33" i="79"/>
  <c r="L36" i="79" s="1"/>
  <c r="K36" i="79"/>
  <c r="C32" i="120"/>
  <c r="B21" i="87"/>
  <c r="I22" i="79"/>
  <c r="I25" i="79" s="1"/>
  <c r="H66" i="128"/>
  <c r="I40" i="130"/>
  <c r="D22" i="99"/>
  <c r="D20" i="99" s="1"/>
  <c r="C32" i="128"/>
  <c r="F43" i="130"/>
  <c r="I55" i="130"/>
  <c r="F24" i="130"/>
  <c r="H68" i="128"/>
  <c r="F26" i="124"/>
  <c r="I26" i="124" s="1"/>
  <c r="I23" i="124" s="1"/>
  <c r="H65" i="128"/>
  <c r="H64" i="128"/>
  <c r="C33" i="128"/>
  <c r="H17" i="87"/>
  <c r="H63" i="123"/>
  <c r="H65" i="123"/>
  <c r="H66" i="123"/>
  <c r="H63" i="124"/>
  <c r="I25" i="127"/>
  <c r="I27" i="128"/>
  <c r="C26" i="129"/>
  <c r="D24" i="128"/>
  <c r="D37" i="128" s="1"/>
  <c r="I37" i="128" s="1"/>
  <c r="I36" i="128" s="1"/>
  <c r="N32" i="129"/>
  <c r="M3" i="118"/>
  <c r="K25" i="80"/>
  <c r="I5" i="149"/>
  <c r="I31" i="120"/>
  <c r="K32" i="120"/>
  <c r="K33" i="124"/>
  <c r="K31" i="124" s="1"/>
  <c r="D24" i="80"/>
  <c r="K28" i="127"/>
  <c r="J28" i="127" s="1"/>
  <c r="D82" i="95"/>
  <c r="D80" i="95" s="1"/>
  <c r="D17" i="87"/>
  <c r="B17" i="87" s="1"/>
  <c r="D32" i="135"/>
  <c r="D19" i="135" s="1"/>
  <c r="D67" i="99"/>
  <c r="F56" i="130"/>
  <c r="F26" i="123"/>
  <c r="I26" i="123" s="1"/>
  <c r="K26" i="123" s="1"/>
  <c r="C28" i="129"/>
  <c r="G25" i="79"/>
  <c r="K35" i="128"/>
  <c r="C35" i="129"/>
  <c r="H67" i="128"/>
  <c r="H64" i="127"/>
  <c r="H52" i="129"/>
  <c r="H51" i="129"/>
  <c r="H50" i="129"/>
  <c r="J28" i="124"/>
  <c r="K39" i="128"/>
  <c r="C35" i="128"/>
  <c r="C67" i="99"/>
  <c r="C64" i="99" s="1"/>
  <c r="B22" i="87"/>
  <c r="N25" i="80"/>
  <c r="K29" i="123"/>
  <c r="H65" i="127"/>
  <c r="N26" i="129"/>
  <c r="C39" i="129"/>
  <c r="M15" i="118"/>
  <c r="N24" i="118"/>
  <c r="E41" i="122"/>
  <c r="E41" i="123"/>
  <c r="E42" i="124"/>
  <c r="E26" i="118"/>
  <c r="J39" i="129"/>
  <c r="N35" i="129"/>
  <c r="K33" i="128"/>
  <c r="K33" i="127"/>
  <c r="J33" i="129"/>
  <c r="K33" i="129" s="1"/>
  <c r="J38" i="129"/>
  <c r="K38" i="127"/>
  <c r="J35" i="124"/>
  <c r="K37" i="124"/>
  <c r="H37" i="124" s="1"/>
  <c r="N37" i="124" s="1"/>
  <c r="I36" i="124"/>
  <c r="K32" i="127"/>
  <c r="D34" i="127"/>
  <c r="I34" i="127" s="1"/>
  <c r="H41" i="124"/>
  <c r="K38" i="125"/>
  <c r="H38" i="125" s="1"/>
  <c r="N38" i="125" s="1"/>
  <c r="E38" i="129"/>
  <c r="C38" i="129" s="1"/>
  <c r="J35" i="127"/>
  <c r="C37" i="124"/>
  <c r="G17" i="118"/>
  <c r="D34" i="128"/>
  <c r="I34" i="128" s="1"/>
  <c r="I31" i="128" s="1"/>
  <c r="N33" i="127"/>
  <c r="N38" i="127"/>
  <c r="N38" i="129" s="1"/>
  <c r="I36" i="125"/>
  <c r="G19" i="118"/>
  <c r="O17" i="118"/>
  <c r="O18" i="118"/>
  <c r="L19" i="118"/>
  <c r="L18" i="118" s="1"/>
  <c r="I37" i="127"/>
  <c r="K38" i="128"/>
  <c r="G36" i="79"/>
  <c r="H33" i="79"/>
  <c r="E24" i="129"/>
  <c r="I39" i="129"/>
  <c r="H62" i="122"/>
  <c r="H63" i="122"/>
  <c r="I25" i="87"/>
  <c r="B26" i="113"/>
  <c r="H11" i="113"/>
  <c r="J30" i="113"/>
  <c r="J14" i="113"/>
  <c r="I26" i="129"/>
  <c r="K26" i="128"/>
  <c r="C134" i="99"/>
  <c r="C111" i="99"/>
  <c r="D66" i="99"/>
  <c r="D64" i="99" s="1"/>
  <c r="B18" i="87"/>
  <c r="B14" i="87" s="1"/>
  <c r="H18" i="87"/>
  <c r="P19" i="79"/>
  <c r="D132" i="99"/>
  <c r="D131" i="99" s="1"/>
  <c r="D123" i="99" s="1"/>
  <c r="D122" i="99" s="1"/>
  <c r="D121" i="99" s="1"/>
  <c r="N23" i="122"/>
  <c r="O25" i="125" s="1"/>
  <c r="K29" i="122"/>
  <c r="J23" i="123"/>
  <c r="J20" i="123" s="1"/>
  <c r="K27" i="123"/>
  <c r="J23" i="124"/>
  <c r="J20" i="124" s="1"/>
  <c r="C20" i="99"/>
  <c r="K27" i="124"/>
  <c r="H67" i="124"/>
  <c r="I34" i="119"/>
  <c r="K36" i="119"/>
  <c r="K26" i="119"/>
  <c r="K27" i="119"/>
  <c r="H26" i="119" s="1"/>
  <c r="N26" i="119" s="1"/>
  <c r="N23" i="119" s="1"/>
  <c r="G25" i="119" s="1"/>
  <c r="J25" i="119" s="1"/>
  <c r="I26" i="120"/>
  <c r="I23" i="122"/>
  <c r="K25" i="122"/>
  <c r="K25" i="123"/>
  <c r="D85" i="95"/>
  <c r="E80" i="95" s="1"/>
  <c r="K25" i="124"/>
  <c r="G16" i="135"/>
  <c r="D18" i="135"/>
  <c r="I31" i="80"/>
  <c r="C19" i="99"/>
  <c r="D58" i="130"/>
  <c r="D45" i="130"/>
  <c r="I23" i="127"/>
  <c r="K25" i="127"/>
  <c r="I25" i="129"/>
  <c r="N25" i="129"/>
  <c r="I27" i="129"/>
  <c r="K28" i="128"/>
  <c r="H29" i="128"/>
  <c r="N28" i="128"/>
  <c r="N28" i="129" s="1"/>
  <c r="K27" i="128"/>
  <c r="I23" i="128"/>
  <c r="D48" i="135"/>
  <c r="G48" i="135" s="1"/>
  <c r="J60" i="130"/>
  <c r="K60" i="130" s="1"/>
  <c r="I60" i="130"/>
  <c r="K29" i="124"/>
  <c r="F23" i="130"/>
  <c r="J23" i="122"/>
  <c r="J20" i="122" s="1"/>
  <c r="N23" i="123"/>
  <c r="N27" i="129"/>
  <c r="I31" i="127"/>
  <c r="K32" i="119"/>
  <c r="J31" i="119"/>
  <c r="D19" i="99"/>
  <c r="D17" i="99" s="1"/>
  <c r="D111" i="99"/>
  <c r="J25" i="129"/>
  <c r="K26" i="127"/>
  <c r="K25" i="128"/>
  <c r="K32" i="128"/>
  <c r="I32" i="129"/>
  <c r="D12" i="135"/>
  <c r="G13" i="135"/>
  <c r="K26" i="122"/>
  <c r="I26" i="80"/>
  <c r="C32" i="119"/>
  <c r="I27" i="80"/>
  <c r="F29" i="120"/>
  <c r="I29" i="120" s="1"/>
  <c r="I28" i="120"/>
  <c r="F29" i="80"/>
  <c r="I29" i="80" s="1"/>
  <c r="I28" i="80"/>
  <c r="I23" i="119"/>
  <c r="G29" i="120"/>
  <c r="I22" i="113"/>
  <c r="K26" i="120"/>
  <c r="I27" i="120"/>
  <c r="B13" i="87" l="1"/>
  <c r="H16" i="99" s="1"/>
  <c r="H1" i="87"/>
  <c r="J27" i="129"/>
  <c r="K27" i="129" s="1"/>
  <c r="B27" i="113"/>
  <c r="H3" i="113" s="1"/>
  <c r="E42" i="125"/>
  <c r="E34" i="125" s="1"/>
  <c r="H1" i="112"/>
  <c r="B28" i="112"/>
  <c r="D18" i="112"/>
  <c r="B18" i="112" s="1"/>
  <c r="K26" i="124"/>
  <c r="J28" i="113"/>
  <c r="E42" i="128"/>
  <c r="K28" i="124"/>
  <c r="H24" i="114"/>
  <c r="C30" i="114"/>
  <c r="E30" i="96"/>
  <c r="K35" i="123"/>
  <c r="I23" i="123"/>
  <c r="I20" i="123" s="1"/>
  <c r="K20" i="123" s="1"/>
  <c r="C132" i="99"/>
  <c r="H132" i="99" s="1"/>
  <c r="G19" i="135"/>
  <c r="F12" i="135"/>
  <c r="F11" i="135" s="1"/>
  <c r="O23" i="125"/>
  <c r="K35" i="122"/>
  <c r="I34" i="122"/>
  <c r="J32" i="80"/>
  <c r="C32" i="80"/>
  <c r="N29" i="127"/>
  <c r="N23" i="127" s="1"/>
  <c r="O25" i="127" s="1"/>
  <c r="K29" i="127"/>
  <c r="J29" i="127" s="1"/>
  <c r="J23" i="127" s="1"/>
  <c r="D34" i="129"/>
  <c r="I34" i="125"/>
  <c r="D36" i="79"/>
  <c r="E29" i="80"/>
  <c r="E29" i="120"/>
  <c r="F35" i="118"/>
  <c r="J29" i="120"/>
  <c r="D35" i="135"/>
  <c r="F41" i="130"/>
  <c r="F58" i="130" s="1"/>
  <c r="D51" i="135" s="1"/>
  <c r="O25" i="123"/>
  <c r="I56" i="130"/>
  <c r="J56" i="130" s="1"/>
  <c r="D47" i="135"/>
  <c r="G47" i="135" s="1"/>
  <c r="K31" i="120"/>
  <c r="H32" i="120"/>
  <c r="N32" i="120" s="1"/>
  <c r="N31" i="120" s="1"/>
  <c r="H64" i="99"/>
  <c r="K39" i="129"/>
  <c r="H67" i="99"/>
  <c r="J19" i="123"/>
  <c r="O19" i="123"/>
  <c r="O19" i="122"/>
  <c r="J19" i="122"/>
  <c r="O19" i="124"/>
  <c r="J19" i="124"/>
  <c r="K26" i="79"/>
  <c r="E16" i="79"/>
  <c r="E28" i="120"/>
  <c r="E35" i="118"/>
  <c r="E23" i="118" s="1"/>
  <c r="G26" i="118"/>
  <c r="E28" i="80"/>
  <c r="E42" i="129"/>
  <c r="E37" i="129" s="1"/>
  <c r="C37" i="129" s="1"/>
  <c r="I34" i="129"/>
  <c r="I31" i="129" s="1"/>
  <c r="M4" i="118"/>
  <c r="M14" i="118"/>
  <c r="K35" i="127"/>
  <c r="J35" i="129"/>
  <c r="K35" i="129" s="1"/>
  <c r="K36" i="124"/>
  <c r="I35" i="124"/>
  <c r="I20" i="124" s="1"/>
  <c r="K20" i="124" s="1"/>
  <c r="I36" i="129"/>
  <c r="N33" i="129"/>
  <c r="E37" i="127"/>
  <c r="O19" i="127"/>
  <c r="E34" i="127"/>
  <c r="H42" i="127" s="1"/>
  <c r="J19" i="127"/>
  <c r="K19" i="127" s="1"/>
  <c r="N19" i="118"/>
  <c r="Q18" i="118"/>
  <c r="Q17" i="118"/>
  <c r="M19" i="118"/>
  <c r="I36" i="127"/>
  <c r="I20" i="127" s="1"/>
  <c r="O25" i="124"/>
  <c r="I6" i="87"/>
  <c r="E34" i="129"/>
  <c r="C34" i="129" s="1"/>
  <c r="O19" i="129"/>
  <c r="J19" i="129"/>
  <c r="K19" i="129" s="1"/>
  <c r="H36" i="79"/>
  <c r="M33" i="79"/>
  <c r="M36" i="79" s="1"/>
  <c r="J6" i="113"/>
  <c r="J2" i="113"/>
  <c r="J31" i="113"/>
  <c r="C17" i="99"/>
  <c r="H2" i="87"/>
  <c r="I16" i="99"/>
  <c r="I7" i="87"/>
  <c r="I23" i="120"/>
  <c r="J23" i="119"/>
  <c r="J20" i="119" s="1"/>
  <c r="K25" i="119"/>
  <c r="K34" i="119"/>
  <c r="H36" i="119"/>
  <c r="N36" i="119" s="1"/>
  <c r="N34" i="119" s="1"/>
  <c r="G12" i="135"/>
  <c r="H32" i="119"/>
  <c r="N32" i="119" s="1"/>
  <c r="K31" i="119"/>
  <c r="I20" i="128"/>
  <c r="J28" i="128"/>
  <c r="K28" i="129"/>
  <c r="J131" i="99"/>
  <c r="K23" i="124"/>
  <c r="O23" i="124" s="1"/>
  <c r="H12" i="99"/>
  <c r="S85" i="95"/>
  <c r="E84" i="95"/>
  <c r="E85" i="95" s="1"/>
  <c r="K23" i="127"/>
  <c r="K32" i="129"/>
  <c r="H111" i="99"/>
  <c r="K29" i="128"/>
  <c r="N29" i="128"/>
  <c r="I23" i="129"/>
  <c r="K25" i="129"/>
  <c r="C131" i="99"/>
  <c r="C123" i="99" s="1"/>
  <c r="C122" i="99" s="1"/>
  <c r="C121" i="99" s="1"/>
  <c r="F87" i="95"/>
  <c r="K23" i="122"/>
  <c r="O23" i="122" s="1"/>
  <c r="I20" i="122"/>
  <c r="K20" i="122" s="1"/>
  <c r="I23" i="80"/>
  <c r="I20" i="119"/>
  <c r="K23" i="119"/>
  <c r="O23" i="119" s="1"/>
  <c r="K29" i="120"/>
  <c r="F9" i="130"/>
  <c r="H2" i="99" l="1"/>
  <c r="D63" i="99" s="1"/>
  <c r="G63" i="99" s="1"/>
  <c r="J7" i="113"/>
  <c r="J3" i="113"/>
  <c r="C34" i="125"/>
  <c r="J34" i="125"/>
  <c r="J31" i="125" s="1"/>
  <c r="H35" i="122"/>
  <c r="N35" i="122" s="1"/>
  <c r="N34" i="122" s="1"/>
  <c r="N19" i="122" s="1"/>
  <c r="K34" i="122"/>
  <c r="Q19" i="122" s="1"/>
  <c r="H30" i="114"/>
  <c r="C48" i="114"/>
  <c r="O23" i="127"/>
  <c r="K23" i="123"/>
  <c r="O23" i="123" s="1"/>
  <c r="D110" i="99"/>
  <c r="J31" i="80"/>
  <c r="K32" i="80"/>
  <c r="K34" i="123"/>
  <c r="Q19" i="123" s="1"/>
  <c r="H35" i="123"/>
  <c r="N35" i="123" s="1"/>
  <c r="N34" i="123" s="1"/>
  <c r="N19" i="123" s="1"/>
  <c r="P23" i="122"/>
  <c r="I31" i="125"/>
  <c r="I20" i="125" s="1"/>
  <c r="K34" i="125"/>
  <c r="J19" i="128"/>
  <c r="K19" i="128" s="1"/>
  <c r="O19" i="128"/>
  <c r="E34" i="128"/>
  <c r="I7" i="112"/>
  <c r="J7" i="112" s="1"/>
  <c r="H2" i="112"/>
  <c r="E37" i="125"/>
  <c r="O19" i="125"/>
  <c r="J19" i="125"/>
  <c r="K19" i="125" s="1"/>
  <c r="H42" i="125"/>
  <c r="E37" i="128"/>
  <c r="F23" i="118"/>
  <c r="G23" i="118" s="1"/>
  <c r="E27" i="120"/>
  <c r="E24" i="120" s="1"/>
  <c r="E27" i="80"/>
  <c r="C29" i="80"/>
  <c r="J29" i="80"/>
  <c r="K29" i="80" s="1"/>
  <c r="N29" i="80"/>
  <c r="C29" i="120"/>
  <c r="N29" i="120"/>
  <c r="K20" i="119"/>
  <c r="I21" i="119" s="1"/>
  <c r="F45" i="130"/>
  <c r="I12" i="135" s="1"/>
  <c r="J12" i="79"/>
  <c r="K24" i="79"/>
  <c r="M24" i="79" s="1"/>
  <c r="K23" i="79"/>
  <c r="M23" i="79" s="1"/>
  <c r="K21" i="79"/>
  <c r="M21" i="79" s="1"/>
  <c r="K22" i="79"/>
  <c r="M22" i="79" s="1"/>
  <c r="K20" i="79"/>
  <c r="J28" i="80"/>
  <c r="K28" i="80" s="1"/>
  <c r="N28" i="80"/>
  <c r="C28" i="80"/>
  <c r="E26" i="80"/>
  <c r="G35" i="118"/>
  <c r="J37" i="129"/>
  <c r="C28" i="120"/>
  <c r="N28" i="120"/>
  <c r="J28" i="120"/>
  <c r="J34" i="127"/>
  <c r="N34" i="127"/>
  <c r="C34" i="127"/>
  <c r="N37" i="127"/>
  <c r="N36" i="127" s="1"/>
  <c r="C37" i="127"/>
  <c r="J37" i="127"/>
  <c r="K35" i="124"/>
  <c r="Q19" i="124" s="1"/>
  <c r="H36" i="124"/>
  <c r="N36" i="124" s="1"/>
  <c r="N35" i="124" s="1"/>
  <c r="N19" i="124" s="1"/>
  <c r="P23" i="124" s="1"/>
  <c r="H42" i="129"/>
  <c r="I20" i="129"/>
  <c r="J29" i="128"/>
  <c r="J29" i="129" s="1"/>
  <c r="K29" i="129"/>
  <c r="J28" i="129"/>
  <c r="D43" i="96"/>
  <c r="E93" i="95"/>
  <c r="E19" i="64" s="1"/>
  <c r="E20" i="64" s="1"/>
  <c r="E21" i="64" s="1"/>
  <c r="C89" i="95"/>
  <c r="H131" i="99"/>
  <c r="N29" i="129"/>
  <c r="N23" i="129" s="1"/>
  <c r="N23" i="128"/>
  <c r="N31" i="119"/>
  <c r="N19" i="119" s="1"/>
  <c r="P23" i="119" s="1"/>
  <c r="Q19" i="119"/>
  <c r="C110" i="99"/>
  <c r="P23" i="123"/>
  <c r="I9" i="130"/>
  <c r="G9" i="130"/>
  <c r="H9" i="130"/>
  <c r="G10" i="130"/>
  <c r="I10" i="130"/>
  <c r="I12" i="130" s="1"/>
  <c r="D35" i="120"/>
  <c r="D35" i="80"/>
  <c r="D16" i="99" l="1"/>
  <c r="D102" i="99"/>
  <c r="K31" i="125"/>
  <c r="H34" i="125"/>
  <c r="N34" i="125" s="1"/>
  <c r="N31" i="125" s="1"/>
  <c r="C34" i="128"/>
  <c r="H42" i="128"/>
  <c r="N34" i="128"/>
  <c r="N31" i="128" s="1"/>
  <c r="N19" i="128" s="1"/>
  <c r="J34" i="128"/>
  <c r="H32" i="80"/>
  <c r="N32" i="80" s="1"/>
  <c r="N31" i="80" s="1"/>
  <c r="K31" i="80"/>
  <c r="J23" i="128"/>
  <c r="K23" i="128" s="1"/>
  <c r="O23" i="128" s="1"/>
  <c r="C37" i="128"/>
  <c r="N37" i="128"/>
  <c r="N36" i="128" s="1"/>
  <c r="J37" i="128"/>
  <c r="C37" i="125"/>
  <c r="J37" i="125"/>
  <c r="I1" i="87"/>
  <c r="H48" i="114"/>
  <c r="E35" i="80"/>
  <c r="J35" i="80" s="1"/>
  <c r="J34" i="80" s="1"/>
  <c r="M24" i="118"/>
  <c r="E35" i="120"/>
  <c r="J35" i="120" s="1"/>
  <c r="J34" i="120" s="1"/>
  <c r="C27" i="120"/>
  <c r="J27" i="120"/>
  <c r="K27" i="120" s="1"/>
  <c r="N27" i="120"/>
  <c r="N23" i="120"/>
  <c r="J27" i="80"/>
  <c r="K27" i="80" s="1"/>
  <c r="C27" i="80"/>
  <c r="N27" i="80"/>
  <c r="J8" i="79"/>
  <c r="I8" i="79" s="1"/>
  <c r="I12" i="79"/>
  <c r="M20" i="79"/>
  <c r="M25" i="79" s="1"/>
  <c r="O25" i="79" s="1"/>
  <c r="C39" i="79" s="1"/>
  <c r="D39" i="79" s="1"/>
  <c r="D42" i="79" s="1"/>
  <c r="K25" i="79"/>
  <c r="K37" i="129"/>
  <c r="J36" i="129"/>
  <c r="J23" i="120"/>
  <c r="K28" i="120"/>
  <c r="E24" i="80"/>
  <c r="J26" i="80"/>
  <c r="C26" i="80"/>
  <c r="N26" i="80"/>
  <c r="N23" i="80" s="1"/>
  <c r="C37" i="79" s="1"/>
  <c r="D37" i="79" s="1"/>
  <c r="J31" i="127"/>
  <c r="K34" i="127"/>
  <c r="K31" i="127" s="1"/>
  <c r="N20" i="127" s="1"/>
  <c r="J36" i="127"/>
  <c r="K37" i="127"/>
  <c r="K36" i="127" s="1"/>
  <c r="N34" i="129"/>
  <c r="N31" i="129" s="1"/>
  <c r="N31" i="127"/>
  <c r="N19" i="127" s="1"/>
  <c r="K24" i="130"/>
  <c r="E11" i="103"/>
  <c r="J23" i="129"/>
  <c r="C102" i="99"/>
  <c r="C78" i="99" s="1"/>
  <c r="O25" i="128"/>
  <c r="E94" i="95"/>
  <c r="E38" i="96" s="1"/>
  <c r="H38" i="96"/>
  <c r="C16" i="99"/>
  <c r="O25" i="129"/>
  <c r="H10" i="130"/>
  <c r="I35" i="130"/>
  <c r="I43" i="130"/>
  <c r="I44" i="130"/>
  <c r="I36" i="130"/>
  <c r="I29" i="130"/>
  <c r="I51" i="130"/>
  <c r="I30" i="130"/>
  <c r="I24" i="130"/>
  <c r="I33" i="130"/>
  <c r="I26" i="130"/>
  <c r="I37" i="130"/>
  <c r="I32" i="130"/>
  <c r="I31" i="130"/>
  <c r="I25" i="130"/>
  <c r="I28" i="130"/>
  <c r="I38" i="130"/>
  <c r="I39" i="130"/>
  <c r="I34" i="130"/>
  <c r="J9" i="130"/>
  <c r="J10" i="130" s="1"/>
  <c r="J12" i="130" s="1"/>
  <c r="J40" i="130" s="1"/>
  <c r="I35" i="120"/>
  <c r="C35" i="120"/>
  <c r="I35" i="80"/>
  <c r="K34" i="128" l="1"/>
  <c r="K31" i="128" s="1"/>
  <c r="N20" i="128" s="1"/>
  <c r="J31" i="128"/>
  <c r="K37" i="128"/>
  <c r="K36" i="128" s="1"/>
  <c r="J36" i="128"/>
  <c r="J20" i="128" s="1"/>
  <c r="K20" i="128" s="1"/>
  <c r="I21" i="128" s="1"/>
  <c r="J34" i="129"/>
  <c r="J110" i="99"/>
  <c r="D78" i="99"/>
  <c r="H123" i="99"/>
  <c r="C35" i="80"/>
  <c r="J20" i="127"/>
  <c r="K20" i="127" s="1"/>
  <c r="I21" i="127" s="1"/>
  <c r="J36" i="125"/>
  <c r="J20" i="125" s="1"/>
  <c r="K20" i="125" s="1"/>
  <c r="I21" i="125" s="1"/>
  <c r="K37" i="125"/>
  <c r="J2" i="99"/>
  <c r="D13" i="99"/>
  <c r="D11" i="99" s="1"/>
  <c r="D8" i="99" s="1"/>
  <c r="E40" i="80"/>
  <c r="E40" i="120"/>
  <c r="J20" i="120"/>
  <c r="K23" i="120"/>
  <c r="O23" i="120" s="1"/>
  <c r="K36" i="129"/>
  <c r="H37" i="129"/>
  <c r="N37" i="129" s="1"/>
  <c r="N36" i="129" s="1"/>
  <c r="J23" i="80"/>
  <c r="K26" i="80"/>
  <c r="J31" i="129"/>
  <c r="J20" i="129" s="1"/>
  <c r="K20" i="129" s="1"/>
  <c r="I21" i="129" s="1"/>
  <c r="K34" i="129"/>
  <c r="K31" i="129" s="1"/>
  <c r="P20" i="127"/>
  <c r="K23" i="129"/>
  <c r="O23" i="129" s="1"/>
  <c r="H110" i="99"/>
  <c r="C76" i="99"/>
  <c r="H102" i="99"/>
  <c r="C60" i="99"/>
  <c r="C58" i="99" s="1"/>
  <c r="C55" i="99" s="1"/>
  <c r="H63" i="99" s="1"/>
  <c r="C13" i="99"/>
  <c r="J16" i="99"/>
  <c r="G16" i="99"/>
  <c r="J1" i="99"/>
  <c r="E39" i="96"/>
  <c r="E40" i="96" s="1"/>
  <c r="G40" i="96"/>
  <c r="J34" i="130"/>
  <c r="J32" i="130"/>
  <c r="I23" i="130"/>
  <c r="J24" i="130"/>
  <c r="J36" i="130"/>
  <c r="I41" i="130"/>
  <c r="I58" i="130" s="1"/>
  <c r="J43" i="130"/>
  <c r="J41" i="130" s="1"/>
  <c r="J58" i="130" s="1"/>
  <c r="K9" i="130"/>
  <c r="K10" i="130" s="1"/>
  <c r="K12" i="130" s="1"/>
  <c r="J39" i="130"/>
  <c r="I27" i="130"/>
  <c r="J28" i="130"/>
  <c r="J31" i="130"/>
  <c r="J37" i="130"/>
  <c r="J33" i="130"/>
  <c r="J30" i="130"/>
  <c r="J29" i="130"/>
  <c r="J35" i="130"/>
  <c r="J38" i="130"/>
  <c r="J25" i="130"/>
  <c r="J26" i="130"/>
  <c r="I34" i="80"/>
  <c r="I20" i="80" s="1"/>
  <c r="K35" i="80"/>
  <c r="I34" i="120"/>
  <c r="I20" i="120" s="1"/>
  <c r="K35" i="120"/>
  <c r="D60" i="99" l="1"/>
  <c r="I102" i="99"/>
  <c r="D76" i="99"/>
  <c r="P23" i="128"/>
  <c r="H37" i="125"/>
  <c r="N37" i="125" s="1"/>
  <c r="N36" i="125" s="1"/>
  <c r="K36" i="125"/>
  <c r="Q19" i="125" s="1"/>
  <c r="H7" i="87"/>
  <c r="J7" i="87" s="1"/>
  <c r="H14" i="99"/>
  <c r="P20" i="128"/>
  <c r="K20" i="120"/>
  <c r="P23" i="127"/>
  <c r="H40" i="80"/>
  <c r="O19" i="80"/>
  <c r="J19" i="80"/>
  <c r="K19" i="80" s="1"/>
  <c r="O19" i="120"/>
  <c r="J19" i="120"/>
  <c r="K19" i="120" s="1"/>
  <c r="H40" i="120"/>
  <c r="E30" i="103"/>
  <c r="E28" i="103" s="1"/>
  <c r="Q19" i="129"/>
  <c r="S19" i="129" s="1"/>
  <c r="J20" i="80"/>
  <c r="K20" i="80" s="1"/>
  <c r="K23" i="80"/>
  <c r="O23" i="80" s="1"/>
  <c r="O36" i="129"/>
  <c r="N19" i="129"/>
  <c r="P23" i="129" s="1"/>
  <c r="Q20" i="128"/>
  <c r="O31" i="129"/>
  <c r="N20" i="129"/>
  <c r="C11" i="99"/>
  <c r="C8" i="99" s="1"/>
  <c r="G12" i="99"/>
  <c r="I41" i="96"/>
  <c r="J80" i="95"/>
  <c r="J85" i="95" s="1"/>
  <c r="K40" i="130"/>
  <c r="K36" i="130"/>
  <c r="K33" i="130"/>
  <c r="K30" i="130"/>
  <c r="K29" i="130"/>
  <c r="K35" i="130"/>
  <c r="K34" i="130"/>
  <c r="K32" i="130"/>
  <c r="K43" i="130"/>
  <c r="K39" i="130"/>
  <c r="K28" i="130"/>
  <c r="K31" i="130"/>
  <c r="K37" i="130"/>
  <c r="K44" i="130"/>
  <c r="J27" i="130"/>
  <c r="J23" i="130"/>
  <c r="I45" i="130"/>
  <c r="K34" i="120"/>
  <c r="Q19" i="120" s="1"/>
  <c r="H35" i="120"/>
  <c r="N35" i="120" s="1"/>
  <c r="N34" i="120" s="1"/>
  <c r="N19" i="120" s="1"/>
  <c r="K34" i="80"/>
  <c r="Q19" i="80" s="1"/>
  <c r="H35" i="80"/>
  <c r="N35" i="80" s="1"/>
  <c r="N34" i="80" s="1"/>
  <c r="N19" i="80" s="1"/>
  <c r="P23" i="120" l="1"/>
  <c r="I21" i="120"/>
  <c r="P23" i="80"/>
  <c r="N20" i="125"/>
  <c r="N19" i="125"/>
  <c r="P23" i="125" s="1"/>
  <c r="D58" i="99"/>
  <c r="D55" i="99" s="1"/>
  <c r="J63" i="99"/>
  <c r="I21" i="80"/>
  <c r="E46" i="103"/>
  <c r="P20" i="129"/>
  <c r="P19" i="129"/>
  <c r="H6" i="87"/>
  <c r="J6" i="87" s="1"/>
  <c r="J8" i="99"/>
  <c r="G14" i="99"/>
  <c r="J45" i="130"/>
  <c r="K27" i="130"/>
  <c r="K41" i="130"/>
  <c r="K58" i="130" s="1"/>
  <c r="C15" i="65" l="1"/>
  <c r="E43" i="103" l="1"/>
  <c r="K25" i="130" l="1"/>
  <c r="K23" i="130" s="1"/>
  <c r="E12" i="103"/>
  <c r="E10" i="103" s="1"/>
  <c r="E40" i="103" l="1"/>
  <c r="F54" i="130" l="1"/>
  <c r="D40" i="103"/>
  <c r="J46" i="103"/>
  <c r="E38" i="103"/>
  <c r="D38" i="103" l="1"/>
  <c r="D46" i="103"/>
  <c r="I46" i="103" s="1"/>
  <c r="D54" i="130"/>
  <c r="D52" i="130" s="1"/>
  <c r="D62" i="130" s="1"/>
  <c r="D71" i="130" s="1"/>
  <c r="I54" i="130"/>
  <c r="K54" i="130"/>
  <c r="K52" i="130" s="1"/>
  <c r="D45" i="135"/>
  <c r="D43" i="135" s="1"/>
  <c r="D38" i="135" s="1"/>
  <c r="F52" i="130"/>
  <c r="F62" i="130" s="1"/>
  <c r="I38" i="135" l="1"/>
  <c r="F71" i="130"/>
  <c r="D33" i="103"/>
  <c r="D8" i="103" s="1"/>
  <c r="H5" i="103" s="1"/>
  <c r="G38" i="135"/>
  <c r="D11" i="135"/>
  <c r="G11" i="135" s="1"/>
  <c r="I52" i="130"/>
  <c r="I62" i="130" s="1"/>
  <c r="I71" i="130" s="1"/>
  <c r="J54" i="130"/>
  <c r="J52" i="130" s="1"/>
  <c r="J62" i="130" s="1"/>
  <c r="J71" i="130" s="1"/>
  <c r="J11" i="135" l="1"/>
  <c r="K68" i="130"/>
  <c r="K26" i="130" l="1"/>
  <c r="K45" i="130" s="1"/>
  <c r="E13" i="103"/>
  <c r="E42" i="103" s="1"/>
  <c r="N56" i="130" l="1"/>
  <c r="K56" i="130"/>
  <c r="K62" i="130" s="1"/>
  <c r="K71" i="130" s="1"/>
  <c r="I42" i="103"/>
  <c r="E33" i="103"/>
  <c r="L13" i="79" l="1"/>
  <c r="J20" i="79" l="1"/>
  <c r="J14" i="79" l="1"/>
  <c r="J7" i="79"/>
  <c r="J13" i="79" s="1"/>
  <c r="K7" i="79" s="1"/>
  <c r="K13" i="79" s="1"/>
  <c r="K12" i="79" l="1"/>
  <c r="K9" i="79"/>
  <c r="K11" i="79"/>
  <c r="K8" i="79"/>
  <c r="K10" i="79"/>
  <c r="J24" i="79" l="1"/>
  <c r="J22" i="79"/>
  <c r="J23" i="79"/>
  <c r="D15" i="65" l="1"/>
  <c r="E27" i="103"/>
  <c r="E14" i="103" s="1"/>
  <c r="E9" i="103" s="1"/>
  <c r="E8" i="103" s="1"/>
  <c r="I19" i="123" l="1"/>
  <c r="K19" i="123" s="1"/>
  <c r="I21" i="123" s="1"/>
  <c r="J5" i="103"/>
  <c r="I19" i="124"/>
  <c r="K19" i="124" s="1"/>
  <c r="I21" i="124" s="1"/>
  <c r="I19" i="122"/>
  <c r="K19" i="122" s="1"/>
  <c r="I21" i="122" s="1"/>
  <c r="B22" i="79" l="1"/>
  <c r="C22" i="79" s="1"/>
  <c r="C23" i="79" l="1"/>
  <c r="L23" i="79" s="1"/>
  <c r="N12" i="79"/>
  <c r="B24" i="79"/>
  <c r="C24" i="79" s="1"/>
  <c r="L24" i="79" s="1"/>
  <c r="M12" i="79"/>
  <c r="C25" i="79"/>
  <c r="L22" i="79"/>
  <c r="L25" i="79" s="1"/>
  <c r="N25" i="79" s="1"/>
  <c r="B20" i="79"/>
  <c r="B21" i="79"/>
  <c r="B25" i="79" l="1"/>
  <c r="B26" i="79" l="1"/>
  <c r="C26" i="79" s="1"/>
  <c r="E43" i="79" s="1"/>
  <c r="H8" i="103"/>
  <c r="K8" i="103" s="1"/>
  <c r="D43" i="79" l="1"/>
</calcChain>
</file>

<file path=xl/comments1.xml><?xml version="1.0" encoding="utf-8"?>
<comments xmlns="http://schemas.openxmlformats.org/spreadsheetml/2006/main">
  <authors>
    <author>Пользователь</author>
  </authors>
  <commentList>
    <comment ref="E38" authorId="0">
      <text>
        <r>
          <rPr>
            <b/>
            <sz val="9"/>
            <color indexed="81"/>
            <rFont val="Tahoma"/>
            <family val="2"/>
            <charset val="204"/>
          </rPr>
          <t>Пользователь:</t>
        </r>
        <r>
          <rPr>
            <sz val="9"/>
            <color indexed="81"/>
            <rFont val="Tahoma"/>
            <family val="2"/>
            <charset val="204"/>
          </rPr>
          <t xml:space="preserve">
по приказу 84 от 29.12.2010 г. м.б. п.35
</t>
        </r>
      </text>
    </comment>
    <comment ref="I38" authorId="0">
      <text>
        <r>
          <rPr>
            <b/>
            <sz val="9"/>
            <color indexed="81"/>
            <rFont val="Tahoma"/>
            <family val="2"/>
            <charset val="204"/>
          </rPr>
          <t>Пользователь:</t>
        </r>
        <r>
          <rPr>
            <sz val="9"/>
            <color indexed="81"/>
            <rFont val="Tahoma"/>
            <family val="2"/>
            <charset val="204"/>
          </rPr>
          <t xml:space="preserve">
по приказу 84 от 29.12.2010 г. м.б. п.174.
</t>
        </r>
      </text>
    </comment>
  </commentList>
</comments>
</file>

<file path=xl/sharedStrings.xml><?xml version="1.0" encoding="utf-8"?>
<sst xmlns="http://schemas.openxmlformats.org/spreadsheetml/2006/main" count="4328" uniqueCount="1361">
  <si>
    <t>тыс. руб.</t>
  </si>
  <si>
    <t>Таблица N П1.17</t>
  </si>
  <si>
    <t>п/п</t>
  </si>
  <si>
    <t xml:space="preserve">1. </t>
  </si>
  <si>
    <t>Ввод основных производственных фондов</t>
  </si>
  <si>
    <t>Выбытие основных производственных фондов</t>
  </si>
  <si>
    <t>Средняя за отчетный период стоимость основных производственных фондов</t>
  </si>
  <si>
    <t>Средняя норма амортизации</t>
  </si>
  <si>
    <t>Сумма амортизационных отчислений</t>
  </si>
  <si>
    <t>2.1.</t>
  </si>
  <si>
    <t>2.2.</t>
  </si>
  <si>
    <t>2.3.</t>
  </si>
  <si>
    <t>2.4.</t>
  </si>
  <si>
    <t>2.5.</t>
  </si>
  <si>
    <t>2.6.</t>
  </si>
  <si>
    <t>2.7.</t>
  </si>
  <si>
    <t>2.8.</t>
  </si>
  <si>
    <t>2.9.</t>
  </si>
  <si>
    <t>2.10.</t>
  </si>
  <si>
    <t>Наименование</t>
  </si>
  <si>
    <t>всего</t>
  </si>
  <si>
    <t>1.</t>
  </si>
  <si>
    <t>2.</t>
  </si>
  <si>
    <t>3.</t>
  </si>
  <si>
    <t>4.</t>
  </si>
  <si>
    <t>5.</t>
  </si>
  <si>
    <t>6.</t>
  </si>
  <si>
    <t>7.</t>
  </si>
  <si>
    <t>8.</t>
  </si>
  <si>
    <t>тыс.руб.</t>
  </si>
  <si>
    <t>СН</t>
  </si>
  <si>
    <t>1.3.</t>
  </si>
  <si>
    <t>%</t>
  </si>
  <si>
    <t>5.1.</t>
  </si>
  <si>
    <t>5.2.</t>
  </si>
  <si>
    <t>руб./МВт.ч</t>
  </si>
  <si>
    <t>6.1.</t>
  </si>
  <si>
    <t>6.2.</t>
  </si>
  <si>
    <t>6.3.</t>
  </si>
  <si>
    <t>1.1.1.</t>
  </si>
  <si>
    <t>1.1.2.</t>
  </si>
  <si>
    <t>…</t>
  </si>
  <si>
    <t>3.2.</t>
  </si>
  <si>
    <t>3.3.</t>
  </si>
  <si>
    <t>руб./МВт.мес.</t>
  </si>
  <si>
    <t>в том числе</t>
  </si>
  <si>
    <t>-</t>
  </si>
  <si>
    <t>Таблица № П2.1</t>
  </si>
  <si>
    <t xml:space="preserve">Напряжение, кВ </t>
  </si>
  <si>
    <t>Количество цепей на опоре</t>
  </si>
  <si>
    <t>Материал опор</t>
  </si>
  <si>
    <t>Количество условных единиц (у) на 100 км трассы ЛЭП</t>
  </si>
  <si>
    <t>Протяженность</t>
  </si>
  <si>
    <t>Объем условных единиц</t>
  </si>
  <si>
    <t>у/100км</t>
  </si>
  <si>
    <t>км</t>
  </si>
  <si>
    <t>у</t>
  </si>
  <si>
    <t>ВЛЭП</t>
  </si>
  <si>
    <t>металл</t>
  </si>
  <si>
    <t>400-500</t>
  </si>
  <si>
    <t>ж/бетон</t>
  </si>
  <si>
    <t>дерево</t>
  </si>
  <si>
    <t>110-150</t>
  </si>
  <si>
    <t>КЛЭП</t>
  </si>
  <si>
    <t xml:space="preserve"> 1 - 20 </t>
  </si>
  <si>
    <t>дерево на ж/б пасынках</t>
  </si>
  <si>
    <t>ж/бетон, металл</t>
  </si>
  <si>
    <t xml:space="preserve"> 20 -35</t>
  </si>
  <si>
    <t xml:space="preserve"> 3 - 10</t>
  </si>
  <si>
    <t>СН, всего</t>
  </si>
  <si>
    <t xml:space="preserve">0,4 кВ </t>
  </si>
  <si>
    <t xml:space="preserve">до 1 кВ </t>
  </si>
  <si>
    <t>НН, всего</t>
  </si>
  <si>
    <t>Таблица № П2.2</t>
  </si>
  <si>
    <t>Единица измерения</t>
  </si>
  <si>
    <t>Количество условных единиц (у) на единицу измерения</t>
  </si>
  <si>
    <t>Количество единиц измерения</t>
  </si>
  <si>
    <t>у/ед.изм.</t>
  </si>
  <si>
    <t>ед.изм.</t>
  </si>
  <si>
    <t>7=5*6</t>
  </si>
  <si>
    <t>Подстанция</t>
  </si>
  <si>
    <t>П/ст</t>
  </si>
  <si>
    <t xml:space="preserve"> 400 - 500</t>
  </si>
  <si>
    <t xml:space="preserve"> 110 - 150</t>
  </si>
  <si>
    <t>Силовой трансформатор или реактор (одно- или трехфазный), или вольтодобавочный трансформатор</t>
  </si>
  <si>
    <t>Единица оборудования</t>
  </si>
  <si>
    <t xml:space="preserve"> 1 - 20</t>
  </si>
  <si>
    <t>Воздушный выключатель</t>
  </si>
  <si>
    <t>3 фазы</t>
  </si>
  <si>
    <t xml:space="preserve"> - " -</t>
  </si>
  <si>
    <t>Отделитель с короткозамыкателем</t>
  </si>
  <si>
    <t>Выключатель нагрузки</t>
  </si>
  <si>
    <t>Синхронный компенсатор мощн. 50 Мвар</t>
  </si>
  <si>
    <t>То же, 50 Мвар и более</t>
  </si>
  <si>
    <t>Статические конденсаторы</t>
  </si>
  <si>
    <t>100 конд.</t>
  </si>
  <si>
    <t>Мачтовая (столбовая) ТП</t>
  </si>
  <si>
    <t>ТП</t>
  </si>
  <si>
    <t>Однотрансфор-маторная ТП, КТП</t>
  </si>
  <si>
    <t>ТП, КТП</t>
  </si>
  <si>
    <t>Двухтрансформаторная ТП, КТП</t>
  </si>
  <si>
    <t>п/ст</t>
  </si>
  <si>
    <t>14.</t>
  </si>
  <si>
    <t>Итого</t>
  </si>
  <si>
    <t>Общее количество у.е.</t>
  </si>
  <si>
    <t>Количество у.е. по СН II</t>
  </si>
  <si>
    <t xml:space="preserve">Количество у.е. по НН </t>
  </si>
  <si>
    <t>Количество у.е. по ВН</t>
  </si>
  <si>
    <t>Количество у.е. по СН I</t>
  </si>
  <si>
    <t xml:space="preserve">Показатели        </t>
  </si>
  <si>
    <t xml:space="preserve">Базовый период   </t>
  </si>
  <si>
    <t>1.4.1.</t>
  </si>
  <si>
    <t>1.4.2.</t>
  </si>
  <si>
    <t>Масляный выключатель</t>
  </si>
  <si>
    <t>ВН, всего</t>
  </si>
  <si>
    <t>7 = 5 * 6 /100</t>
  </si>
  <si>
    <t>Баланс электрической энергии по сетям ВН, СН1, СН11 и НН</t>
  </si>
  <si>
    <t xml:space="preserve">Базовый период    </t>
  </si>
  <si>
    <t>Поступление эл. энергии в сеть, ВСЕГО</t>
  </si>
  <si>
    <t xml:space="preserve">1.1. </t>
  </si>
  <si>
    <t xml:space="preserve">из смежной сети, всего   </t>
  </si>
  <si>
    <t xml:space="preserve">в том числе из сети      </t>
  </si>
  <si>
    <t xml:space="preserve">ВН                       </t>
  </si>
  <si>
    <t xml:space="preserve">СН1                      </t>
  </si>
  <si>
    <t xml:space="preserve">СН11                     </t>
  </si>
  <si>
    <t xml:space="preserve">1.2. </t>
  </si>
  <si>
    <t xml:space="preserve">1.3. </t>
  </si>
  <si>
    <t>поступление эл.энергии от других организаций</t>
  </si>
  <si>
    <t>Потери электроэнергии   в сети</t>
  </si>
  <si>
    <t xml:space="preserve">Расход электроэнергии  на производственные  </t>
  </si>
  <si>
    <t>и хозяйственные нужды</t>
  </si>
  <si>
    <t xml:space="preserve">Полезный отпуск из сети  </t>
  </si>
  <si>
    <t>потребителям оптового</t>
  </si>
  <si>
    <t xml:space="preserve">рынка                    </t>
  </si>
  <si>
    <t xml:space="preserve">4.3. </t>
  </si>
  <si>
    <t>сальдо переток в   другие</t>
  </si>
  <si>
    <t xml:space="preserve">организации              </t>
  </si>
  <si>
    <t>в т.ч.собственным потребителям ЭСО, из них:</t>
  </si>
  <si>
    <t xml:space="preserve">потребителям, присоединенным к  центру питания на генераторном напряжении          </t>
  </si>
  <si>
    <t>Таблица N П 1.4</t>
  </si>
  <si>
    <t>Таблица N П 1.5</t>
  </si>
  <si>
    <t>МВт</t>
  </si>
  <si>
    <t>Поступление   мощности  в сеть, ВСЕГО</t>
  </si>
  <si>
    <t xml:space="preserve">из смежной сети         </t>
  </si>
  <si>
    <t xml:space="preserve">от других организаций   </t>
  </si>
  <si>
    <t xml:space="preserve">Потери в сети            </t>
  </si>
  <si>
    <t xml:space="preserve">то же в %               </t>
  </si>
  <si>
    <t>Мощность на производственные</t>
  </si>
  <si>
    <t xml:space="preserve">и хозяйственные нужды     </t>
  </si>
  <si>
    <t>Полезный отпуск  мощности</t>
  </si>
  <si>
    <t xml:space="preserve">потребителям            </t>
  </si>
  <si>
    <t>заявленная    (расчетная)</t>
  </si>
  <si>
    <t>мощность     потребителей</t>
  </si>
  <si>
    <t xml:space="preserve">оптового рынка          </t>
  </si>
  <si>
    <t xml:space="preserve">в другие организации    </t>
  </si>
  <si>
    <t>Баланс электрической мощности по сетям ВН, СН1, СН11 и НН</t>
  </si>
  <si>
    <t>1.4.</t>
  </si>
  <si>
    <t>в т.ч. заявленная (расчетная) мощность собственных потребителей, пользующихся региональными электрическими сетями</t>
  </si>
  <si>
    <t>в т.ч. из ВН</t>
  </si>
  <si>
    <t>СН I</t>
  </si>
  <si>
    <t>СН II</t>
  </si>
  <si>
    <t>11.</t>
  </si>
  <si>
    <t>9.</t>
  </si>
  <si>
    <t>10.</t>
  </si>
  <si>
    <t>12.</t>
  </si>
  <si>
    <t>14.1.</t>
  </si>
  <si>
    <t>15.</t>
  </si>
  <si>
    <t>руб.</t>
  </si>
  <si>
    <t>1.6.</t>
  </si>
  <si>
    <t>Исполнитель</t>
  </si>
  <si>
    <t>Обосновывающий документ</t>
  </si>
  <si>
    <t>№</t>
  </si>
  <si>
    <t>ООО "СамараЭСКО"</t>
  </si>
  <si>
    <t>Экспертиза технологических потерь электрической энергии</t>
  </si>
  <si>
    <t>Приложение № 1</t>
  </si>
  <si>
    <t>Согласовано:</t>
  </si>
  <si>
    <t>Руководитель</t>
  </si>
  <si>
    <t>Харитонова Л. С.</t>
  </si>
  <si>
    <t>Расчет амортизационных отчислений</t>
  </si>
  <si>
    <t xml:space="preserve">на восстановление основных производственных фондов </t>
  </si>
  <si>
    <t>Объем подстанций 35-1150 кВ, трансформаторных подстанций (ТП), комплексных трансформаторных подстанций (КТП) и распределительных пунктов(РП) 0,4-20 кВ в условных единицах</t>
  </si>
  <si>
    <t xml:space="preserve">Расчет амортизационных отчислений </t>
  </si>
  <si>
    <t>Балансовая (остаточная) стоимость основных производственных фондов на начало периода регулирования</t>
  </si>
  <si>
    <t>Первоначальная стоимость основных производственных фондов на начало периода регулирования</t>
  </si>
  <si>
    <t>Платежное поручение</t>
  </si>
  <si>
    <t>Статьи затрат</t>
  </si>
  <si>
    <t>ИТОГО</t>
  </si>
  <si>
    <t>потери</t>
  </si>
  <si>
    <t>то же в % (п. 2/п. 1)</t>
  </si>
  <si>
    <t>в т.ч.</t>
  </si>
  <si>
    <t>Лечение и оздоровление работников и членов семей работников</t>
  </si>
  <si>
    <t>Материальная помощь (к отпуску, по заявлениям и т.д.)</t>
  </si>
  <si>
    <t>Главный бухгалтер</t>
  </si>
  <si>
    <t>Дедюрина Н.В.</t>
  </si>
  <si>
    <t>Теплоэнергия</t>
  </si>
  <si>
    <t>проверка</t>
  </si>
  <si>
    <t>Инв. №</t>
  </si>
  <si>
    <t xml:space="preserve">       </t>
  </si>
  <si>
    <t xml:space="preserve">без НДС </t>
  </si>
  <si>
    <t>Наименование работ и услуг</t>
  </si>
  <si>
    <t>Услуги сторонних организаций</t>
  </si>
  <si>
    <t>Примечание:</t>
  </si>
  <si>
    <t>по участку передачи электрической энергии</t>
  </si>
  <si>
    <t>2009 г.</t>
  </si>
  <si>
    <t>2010 г.</t>
  </si>
  <si>
    <t>Объем воздушных линий электропередач (ВЛЭП) и кабельных линий электропередач (КЛЭП)</t>
  </si>
  <si>
    <t xml:space="preserve">использования и материала опор.  </t>
  </si>
  <si>
    <t xml:space="preserve">в условных единицах в зависимости от протяженности, напряжения, конструктивного </t>
  </si>
  <si>
    <t xml:space="preserve">п.п. </t>
  </si>
  <si>
    <t>Период регулирования</t>
  </si>
  <si>
    <t xml:space="preserve">ВН </t>
  </si>
  <si>
    <t>СН1</t>
  </si>
  <si>
    <t>СН11</t>
  </si>
  <si>
    <t xml:space="preserve">НН </t>
  </si>
  <si>
    <t>Всего</t>
  </si>
  <si>
    <t>НН</t>
  </si>
  <si>
    <t>млн. кВт.ч</t>
  </si>
  <si>
    <t xml:space="preserve">Период регулирования </t>
  </si>
  <si>
    <t xml:space="preserve">1.  </t>
  </si>
  <si>
    <t xml:space="preserve">2.   </t>
  </si>
  <si>
    <t xml:space="preserve">3.   </t>
  </si>
  <si>
    <t xml:space="preserve">4.   </t>
  </si>
  <si>
    <t xml:space="preserve">4.1. </t>
  </si>
  <si>
    <t xml:space="preserve">4.2. </t>
  </si>
  <si>
    <t>п.п.</t>
  </si>
  <si>
    <t xml:space="preserve">Показатели       </t>
  </si>
  <si>
    <t>ВН</t>
  </si>
  <si>
    <t>1.1.</t>
  </si>
  <si>
    <t>1.2.</t>
  </si>
  <si>
    <t xml:space="preserve">2.  </t>
  </si>
  <si>
    <t xml:space="preserve">3.  </t>
  </si>
  <si>
    <t xml:space="preserve">4.  </t>
  </si>
  <si>
    <t>4.1.</t>
  </si>
  <si>
    <t>4.2.</t>
  </si>
  <si>
    <t>4.3.</t>
  </si>
  <si>
    <t>3.1.</t>
  </si>
  <si>
    <t>Таблица N П1.13</t>
  </si>
  <si>
    <t xml:space="preserve">Период регулирования   </t>
  </si>
  <si>
    <t>13.</t>
  </si>
  <si>
    <t>Базовый период</t>
  </si>
  <si>
    <t>.</t>
  </si>
  <si>
    <t>часов в год</t>
  </si>
  <si>
    <t>Уровень напряжения</t>
  </si>
  <si>
    <t>Ставка за содержание электрических сетей</t>
  </si>
  <si>
    <t xml:space="preserve">Ставка </t>
  </si>
  <si>
    <t>Тариф на услуги по передаче электрической энергии</t>
  </si>
  <si>
    <t>за оплату потерь электрической энергии в сетях</t>
  </si>
  <si>
    <r>
      <t>Т</t>
    </r>
    <r>
      <rPr>
        <b/>
        <vertAlign val="superscript"/>
        <sz val="11"/>
        <rFont val="Times New Roman"/>
        <family val="1"/>
        <charset val="204"/>
      </rPr>
      <t>СОД</t>
    </r>
  </si>
  <si>
    <r>
      <t>Т</t>
    </r>
    <r>
      <rPr>
        <b/>
        <vertAlign val="superscript"/>
        <sz val="11"/>
        <rFont val="Times New Roman"/>
        <family val="1"/>
        <charset val="204"/>
      </rPr>
      <t>ПОТ</t>
    </r>
  </si>
  <si>
    <t>руб./МВт.ч.</t>
  </si>
  <si>
    <t>Расчет доли НВВ на потребителя</t>
  </si>
  <si>
    <t>МВт.ч</t>
  </si>
  <si>
    <t>собств.потреб.</t>
  </si>
  <si>
    <t>СН2</t>
  </si>
  <si>
    <t>итого МВт.ч</t>
  </si>
  <si>
    <t>проверка по поступл.</t>
  </si>
  <si>
    <t>Тариф покупки потерь на потребителя, руб/МВтч -</t>
  </si>
  <si>
    <t>Число месяцев работы М = 12</t>
  </si>
  <si>
    <t>НВВ потр. на уч.передачи, руб.</t>
  </si>
  <si>
    <r>
      <t xml:space="preserve">НВВ </t>
    </r>
    <r>
      <rPr>
        <b/>
        <vertAlign val="superscript"/>
        <sz val="10"/>
        <color indexed="56"/>
        <rFont val="Times New Roman"/>
        <family val="1"/>
        <charset val="204"/>
      </rPr>
      <t>ПО</t>
    </r>
    <r>
      <rPr>
        <b/>
        <sz val="10"/>
        <color indexed="56"/>
        <rFont val="Times New Roman"/>
        <family val="1"/>
        <charset val="204"/>
      </rPr>
      <t xml:space="preserve"> в доле на потребит., руб.</t>
    </r>
  </si>
  <si>
    <r>
      <t>N</t>
    </r>
    <r>
      <rPr>
        <b/>
        <vertAlign val="superscript"/>
        <sz val="10"/>
        <color indexed="56"/>
        <rFont val="Times New Roman"/>
        <family val="1"/>
        <charset val="204"/>
      </rPr>
      <t>ПО</t>
    </r>
    <r>
      <rPr>
        <b/>
        <sz val="10"/>
        <color indexed="56"/>
        <rFont val="Times New Roman"/>
        <family val="1"/>
        <charset val="204"/>
      </rPr>
      <t>, Мвт (заявл.мощн.                              потреб.)</t>
    </r>
  </si>
  <si>
    <t>Потери на потреб., МВт.ч (переток)</t>
  </si>
  <si>
    <t>Ставка на оплату (потерь),      руб./МВтч</t>
  </si>
  <si>
    <t xml:space="preserve">Затраты потерь на потреб. (ЗПОТ),                  руб. </t>
  </si>
  <si>
    <r>
      <rPr>
        <b/>
        <sz val="11"/>
        <color indexed="56"/>
        <rFont val="Times New Roman"/>
        <family val="1"/>
        <charset val="204"/>
      </rPr>
      <t>Р</t>
    </r>
    <r>
      <rPr>
        <b/>
        <vertAlign val="superscript"/>
        <sz val="11"/>
        <color indexed="56"/>
        <rFont val="Times New Roman"/>
        <family val="1"/>
        <charset val="204"/>
      </rPr>
      <t>СОД</t>
    </r>
    <r>
      <rPr>
        <b/>
        <sz val="10"/>
        <color indexed="56"/>
        <rFont val="Times New Roman"/>
        <family val="1"/>
        <charset val="204"/>
      </rPr>
      <t>,                            руб. в год</t>
    </r>
  </si>
  <si>
    <r>
      <rPr>
        <b/>
        <sz val="11"/>
        <color indexed="56"/>
        <rFont val="Times New Roman"/>
        <family val="1"/>
        <charset val="204"/>
      </rPr>
      <t>Р</t>
    </r>
    <r>
      <rPr>
        <b/>
        <vertAlign val="superscript"/>
        <sz val="11"/>
        <color indexed="56"/>
        <rFont val="Times New Roman"/>
        <family val="1"/>
        <charset val="204"/>
      </rPr>
      <t>ПОТ</t>
    </r>
    <r>
      <rPr>
        <b/>
        <sz val="11"/>
        <color indexed="56"/>
        <rFont val="Times New Roman"/>
        <family val="1"/>
        <charset val="204"/>
      </rPr>
      <t xml:space="preserve">,                               </t>
    </r>
    <r>
      <rPr>
        <b/>
        <sz val="10"/>
        <color indexed="56"/>
        <rFont val="Times New Roman"/>
        <family val="1"/>
        <charset val="204"/>
      </rPr>
      <t>руб. в год</t>
    </r>
  </si>
  <si>
    <r>
      <t>ТС</t>
    </r>
    <r>
      <rPr>
        <b/>
        <vertAlign val="superscript"/>
        <sz val="10"/>
        <color indexed="9"/>
        <rFont val="Times New Roman"/>
        <family val="1"/>
        <charset val="204"/>
      </rPr>
      <t>СОД.</t>
    </r>
    <r>
      <rPr>
        <b/>
        <sz val="10"/>
        <color indexed="9"/>
        <rFont val="Times New Roman"/>
        <family val="1"/>
        <charset val="204"/>
      </rPr>
      <t>, руб./МВт.мес.</t>
    </r>
  </si>
  <si>
    <r>
      <t>ТС</t>
    </r>
    <r>
      <rPr>
        <b/>
        <vertAlign val="superscript"/>
        <sz val="10"/>
        <color indexed="9"/>
        <rFont val="Times New Roman"/>
        <family val="1"/>
        <charset val="204"/>
      </rPr>
      <t>ПОТ.</t>
    </r>
    <r>
      <rPr>
        <b/>
        <sz val="10"/>
        <color indexed="9"/>
        <rFont val="Times New Roman"/>
        <family val="1"/>
        <charset val="204"/>
      </rPr>
      <t>,                                    руб./МВт.ч.</t>
    </r>
  </si>
  <si>
    <t>Т № П 1.24</t>
  </si>
  <si>
    <t>Т № П 1.30</t>
  </si>
  <si>
    <t>Т № П 1.25</t>
  </si>
  <si>
    <t>ф-ла (15.21)</t>
  </si>
  <si>
    <t>ф-ла (15.22)</t>
  </si>
  <si>
    <t>ф-ла (15.23)</t>
  </si>
  <si>
    <t>ф-ла (15.24)</t>
  </si>
  <si>
    <t>за содержание электрических сетей</t>
  </si>
  <si>
    <t>за оплату потерь эл.эн. в сетях на потребителя</t>
  </si>
  <si>
    <t>итого</t>
  </si>
  <si>
    <t>по рассчитанному индивидуальному межсетевому тарифу</t>
  </si>
  <si>
    <t>должно быть по Т № П 1.27</t>
  </si>
  <si>
    <t xml:space="preserve"> Расчет индивидуального межсетевого тарифа на услуги по передаче электрической энергии  для взаиморасчетов </t>
  </si>
  <si>
    <t>Организация культмассовых мероприятий (приобретение детских новогодних подарков, проведение праздников и др.)</t>
  </si>
  <si>
    <t xml:space="preserve">Балансовая стоимость        </t>
  </si>
  <si>
    <t>амортиз.</t>
  </si>
  <si>
    <t>Расходы социального характера - выплаты и льготы работникам  (премии к праздничным датами, поощрения к юбилеям, прочие премии из прибыли)</t>
  </si>
  <si>
    <t>16 час.в день,  за "_" воскрес.</t>
  </si>
  <si>
    <t>Единые (котловые) тарифы на услуги по передаче электрической энергии на 2010 г.</t>
  </si>
  <si>
    <t xml:space="preserve">СН2 несетевые </t>
  </si>
  <si>
    <t>Ставка за оплату потерь электрической энергии в сетях</t>
  </si>
  <si>
    <r>
      <t>Т</t>
    </r>
    <r>
      <rPr>
        <b/>
        <vertAlign val="superscript"/>
        <sz val="12"/>
        <rFont val="Times New Roman"/>
        <family val="1"/>
        <charset val="204"/>
      </rPr>
      <t>СОД</t>
    </r>
  </si>
  <si>
    <r>
      <t>Т</t>
    </r>
    <r>
      <rPr>
        <b/>
        <vertAlign val="superscript"/>
        <sz val="12"/>
        <rFont val="Times New Roman"/>
        <family val="1"/>
        <charset val="204"/>
      </rPr>
      <t>ПОТ</t>
    </r>
  </si>
  <si>
    <t>МРСК</t>
  </si>
  <si>
    <t>Показатели</t>
  </si>
  <si>
    <t>Полезный отпуск</t>
  </si>
  <si>
    <t>Единый (котловой) тариф</t>
  </si>
  <si>
    <r>
      <t xml:space="preserve">Платежи за год, </t>
    </r>
    <r>
      <rPr>
        <b/>
        <sz val="11"/>
        <rFont val="Times New Roman"/>
        <family val="1"/>
        <charset val="204"/>
      </rPr>
      <t>тыс.руб.</t>
    </r>
  </si>
  <si>
    <t>двухставочный</t>
  </si>
  <si>
    <t>одно- ставочный</t>
  </si>
  <si>
    <t>по расчету УГРКЭ</t>
  </si>
  <si>
    <t>Мощность, Мвт</t>
  </si>
  <si>
    <t>ЭЭ, тыс.кВт.ч</t>
  </si>
  <si>
    <t>Ставка за содержание электрических сетей,                                    руб./ МВт.мес.</t>
  </si>
  <si>
    <t>Ставка за оплату потерь электрической энергии в сетях, руб./МВт.ч</t>
  </si>
  <si>
    <t>по факту потребления электро- энергии, руб./МВт.ч</t>
  </si>
  <si>
    <t>Содержание</t>
  </si>
  <si>
    <t>Потери</t>
  </si>
  <si>
    <t>8= ст.3 х ст.5 х 12 мес.</t>
  </si>
  <si>
    <t>9= ст.4 х ст.6</t>
  </si>
  <si>
    <t>10=8+9</t>
  </si>
  <si>
    <t>потери, тыс.руб.</t>
  </si>
  <si>
    <t>I.</t>
  </si>
  <si>
    <t>Необходимая валовая выручка (НВВ)</t>
  </si>
  <si>
    <t>Тарифная выручка</t>
  </si>
  <si>
    <t>Строка проверки</t>
  </si>
  <si>
    <t>II.</t>
  </si>
  <si>
    <t>по двухставочному тарифу</t>
  </si>
  <si>
    <t>по одноставочному тарифу</t>
  </si>
  <si>
    <t>Полезный отпуск всего</t>
  </si>
  <si>
    <t xml:space="preserve">в т.ч.  СН II несетевым организациям </t>
  </si>
  <si>
    <r>
      <t xml:space="preserve">           НН несетевым организациям </t>
    </r>
    <r>
      <rPr>
        <sz val="11"/>
        <color indexed="10"/>
        <rFont val="Times New Roman"/>
        <family val="1"/>
        <charset val="204"/>
      </rPr>
      <t>(НАСЕЛЕНИЕ)</t>
    </r>
  </si>
  <si>
    <t>III.</t>
  </si>
  <si>
    <t>Сальдо-переток</t>
  </si>
  <si>
    <t>Индивидуальный тариф</t>
  </si>
  <si>
    <t>руб./ МВт.мес.</t>
  </si>
  <si>
    <t>ОАО "МРСК Волги"</t>
  </si>
  <si>
    <t>IV.</t>
  </si>
  <si>
    <t>тыс.кВт.ч</t>
  </si>
  <si>
    <t>Тариф покупки потерь на потребителя -</t>
  </si>
  <si>
    <t>руб./тыс.кВт.ч</t>
  </si>
  <si>
    <r>
      <t>Э</t>
    </r>
    <r>
      <rPr>
        <b/>
        <vertAlign val="superscript"/>
        <sz val="10"/>
        <color indexed="56"/>
        <rFont val="Times New Roman"/>
        <family val="1"/>
        <charset val="204"/>
      </rPr>
      <t>ПО</t>
    </r>
    <r>
      <rPr>
        <b/>
        <sz val="10"/>
        <color indexed="56"/>
        <rFont val="Times New Roman"/>
        <family val="1"/>
        <charset val="204"/>
      </rPr>
      <t>, МВт.ч (Полезный отпуск)</t>
    </r>
  </si>
  <si>
    <r>
      <t>Т</t>
    </r>
    <r>
      <rPr>
        <b/>
        <vertAlign val="superscript"/>
        <sz val="9"/>
        <color indexed="10"/>
        <rFont val="Times New Roman"/>
        <family val="1"/>
        <charset val="204"/>
      </rPr>
      <t>СОД</t>
    </r>
    <r>
      <rPr>
        <b/>
        <sz val="9"/>
        <color indexed="10"/>
        <rFont val="Times New Roman"/>
        <family val="1"/>
        <charset val="204"/>
      </rPr>
      <t xml:space="preserve"> * N</t>
    </r>
    <r>
      <rPr>
        <b/>
        <vertAlign val="superscript"/>
        <sz val="9"/>
        <color indexed="10"/>
        <rFont val="Times New Roman"/>
        <family val="1"/>
        <charset val="204"/>
      </rPr>
      <t xml:space="preserve">ПО </t>
    </r>
    <r>
      <rPr>
        <b/>
        <sz val="9"/>
        <color indexed="10"/>
        <rFont val="Times New Roman"/>
        <family val="1"/>
        <charset val="204"/>
      </rPr>
      <t xml:space="preserve">* М - НВВ </t>
    </r>
    <r>
      <rPr>
        <b/>
        <vertAlign val="superscript"/>
        <sz val="9"/>
        <color indexed="10"/>
        <rFont val="Times New Roman"/>
        <family val="1"/>
        <charset val="204"/>
      </rPr>
      <t>ПО</t>
    </r>
  </si>
  <si>
    <r>
      <t>Т</t>
    </r>
    <r>
      <rPr>
        <b/>
        <vertAlign val="superscript"/>
        <sz val="9"/>
        <color indexed="10"/>
        <rFont val="Times New Roman"/>
        <family val="1"/>
        <charset val="204"/>
      </rPr>
      <t>ПОТ</t>
    </r>
    <r>
      <rPr>
        <b/>
        <sz val="9"/>
        <color indexed="10"/>
        <rFont val="Times New Roman"/>
        <family val="1"/>
        <charset val="204"/>
      </rPr>
      <t xml:space="preserve"> * Э</t>
    </r>
    <r>
      <rPr>
        <b/>
        <vertAlign val="superscript"/>
        <sz val="9"/>
        <color indexed="10"/>
        <rFont val="Times New Roman"/>
        <family val="1"/>
        <charset val="204"/>
      </rPr>
      <t xml:space="preserve">ПО </t>
    </r>
    <r>
      <rPr>
        <b/>
        <sz val="9"/>
        <color indexed="10"/>
        <rFont val="Times New Roman"/>
        <family val="1"/>
        <charset val="204"/>
      </rPr>
      <t>- З</t>
    </r>
    <r>
      <rPr>
        <b/>
        <vertAlign val="superscript"/>
        <sz val="9"/>
        <color indexed="10"/>
        <rFont val="Times New Roman"/>
        <family val="1"/>
        <charset val="204"/>
      </rPr>
      <t>ПОТ</t>
    </r>
  </si>
  <si>
    <r>
      <t>Р</t>
    </r>
    <r>
      <rPr>
        <b/>
        <vertAlign val="superscript"/>
        <sz val="9"/>
        <color indexed="10"/>
        <rFont val="Times New Roman"/>
        <family val="1"/>
        <charset val="204"/>
      </rPr>
      <t>СОД /</t>
    </r>
    <r>
      <rPr>
        <b/>
        <sz val="9"/>
        <color indexed="10"/>
        <rFont val="Times New Roman"/>
        <family val="1"/>
        <charset val="204"/>
      </rPr>
      <t xml:space="preserve"> (N * М)</t>
    </r>
  </si>
  <si>
    <r>
      <t>Р</t>
    </r>
    <r>
      <rPr>
        <b/>
        <vertAlign val="superscript"/>
        <sz val="9"/>
        <color indexed="10"/>
        <rFont val="Times New Roman"/>
        <family val="1"/>
        <charset val="204"/>
      </rPr>
      <t xml:space="preserve">ПОТ / </t>
    </r>
    <r>
      <rPr>
        <b/>
        <sz val="9"/>
        <color indexed="10"/>
        <rFont val="Times New Roman"/>
        <family val="1"/>
        <charset val="204"/>
      </rPr>
      <t>Э</t>
    </r>
    <r>
      <rPr>
        <b/>
        <vertAlign val="superscript"/>
        <sz val="9"/>
        <color indexed="10"/>
        <rFont val="Times New Roman"/>
        <family val="1"/>
        <charset val="204"/>
      </rPr>
      <t>ПЕРЕТ</t>
    </r>
  </si>
  <si>
    <t>с потер.</t>
  </si>
  <si>
    <t>пол.отп.</t>
  </si>
  <si>
    <t>НН несетевым</t>
  </si>
  <si>
    <r>
      <t>Э</t>
    </r>
    <r>
      <rPr>
        <b/>
        <vertAlign val="superscript"/>
        <sz val="10"/>
        <color indexed="56"/>
        <rFont val="Times New Roman"/>
        <family val="1"/>
        <charset val="204"/>
      </rPr>
      <t>ПЕРЕТОК</t>
    </r>
    <r>
      <rPr>
        <b/>
        <sz val="10"/>
        <color indexed="56"/>
        <rFont val="Times New Roman"/>
        <family val="1"/>
        <charset val="204"/>
      </rPr>
      <t>, МВт.ч (Переток)</t>
    </r>
  </si>
  <si>
    <t>9=7+8</t>
  </si>
  <si>
    <t>потребит</t>
  </si>
  <si>
    <t>СН2 несетев.</t>
  </si>
  <si>
    <t>СН2 сетев.</t>
  </si>
  <si>
    <t>НН несетев.</t>
  </si>
  <si>
    <t>НН сетев.</t>
  </si>
  <si>
    <t>6=4+5</t>
  </si>
  <si>
    <t>3 тарифа для взаиморасчетов с</t>
  </si>
  <si>
    <t>гр.11=гр.8 * Тариф покупки потерь на потреб.</t>
  </si>
  <si>
    <t>ООО "Энерго" тариф</t>
  </si>
  <si>
    <t>СН2 сетевым ООО "Энерго"</t>
  </si>
  <si>
    <t>по одностав.</t>
  </si>
  <si>
    <t>ООО "Энерго"</t>
  </si>
  <si>
    <t xml:space="preserve"> 1) ОАО "МРСК"- вышестоящая</t>
  </si>
  <si>
    <t>Население</t>
  </si>
  <si>
    <t>чччи</t>
  </si>
  <si>
    <t>(общероссийской) электрической сети</t>
  </si>
  <si>
    <t>оперативно-диспетчерскому управлению в электроэнергетике,</t>
  </si>
  <si>
    <t>организации функционирования торговой системы оптового</t>
  </si>
  <si>
    <t>рынка электрической энергии (мощности), передаче</t>
  </si>
  <si>
    <t>электрической энергии по единой национальной</t>
  </si>
  <si>
    <t>СН2 несет.(насел.)</t>
  </si>
  <si>
    <t>Баланс электрической энергии</t>
  </si>
  <si>
    <t>(наименование сетевой организации)</t>
  </si>
  <si>
    <t>Объемы потребления</t>
  </si>
  <si>
    <t xml:space="preserve">Всего </t>
  </si>
  <si>
    <t>Уровни напряжения</t>
  </si>
  <si>
    <t>СОБСТВЕННОЕ ПОТРЕБЛЕНИЕ</t>
  </si>
  <si>
    <t>Электрическая энергия, тыс.кВтч</t>
  </si>
  <si>
    <t>Мощность, МВт</t>
  </si>
  <si>
    <t>ПОТЕРИ ПРИ ПЕРЕДАЧЕ ПО ЭЛЕКТРИЧЕСКИМ СЕТЯМ</t>
  </si>
  <si>
    <t>ПОЛЕЗНЫЙ ОТПУСК</t>
  </si>
  <si>
    <t>Всего:</t>
  </si>
  <si>
    <t>Прочие потребители</t>
  </si>
  <si>
    <t>ПЕРЕДАЧА ПО ТРАНЗИТУ</t>
  </si>
  <si>
    <t xml:space="preserve">                      М.П.</t>
  </si>
  <si>
    <t xml:space="preserve">                          М.П.</t>
  </si>
  <si>
    <t>Таблица № П1.30</t>
  </si>
  <si>
    <t>(в ред. Приказа ФСТ РФ от 31.07.2007 № 138-э/6)</t>
  </si>
  <si>
    <t>Отпуск (передача) электроэнергии территориальными сетевыми организациями</t>
  </si>
  <si>
    <t>Отпуск ЭЭ, тыс. кВт·ч</t>
  </si>
  <si>
    <t>Заявленная мощность, МВт</t>
  </si>
  <si>
    <t>Присоединенная мощность, МВА</t>
  </si>
  <si>
    <t>Товарная продукция, тыс. руб.</t>
  </si>
  <si>
    <t>1</t>
  </si>
  <si>
    <t>Поступление электроэнергии в сеть - всего</t>
  </si>
  <si>
    <t>в т.ч. из</t>
  </si>
  <si>
    <t>1.1</t>
  </si>
  <si>
    <t>1.2</t>
  </si>
  <si>
    <t>сетевых организаций</t>
  </si>
  <si>
    <t>1.2.1</t>
  </si>
  <si>
    <t>1.2.2</t>
  </si>
  <si>
    <t>2</t>
  </si>
  <si>
    <t>Потери электроэнергии - всего</t>
  </si>
  <si>
    <t>3</t>
  </si>
  <si>
    <t>Отпуск (передача) электроэнергии сетевыми предприятиями - всего</t>
  </si>
  <si>
    <t>3.1</t>
  </si>
  <si>
    <t>не сетевым организациям</t>
  </si>
  <si>
    <t>3.2</t>
  </si>
  <si>
    <t>сетевым организациям</t>
  </si>
  <si>
    <t>также в сальдированном выражении (п. 3.2.1 - п. 1.2.1)</t>
  </si>
  <si>
    <t>3.2.2</t>
  </si>
  <si>
    <t>3.2.2.1</t>
  </si>
  <si>
    <t>также в сальдированном выражении (п. 3.2.2 - п. 1.2.2)</t>
  </si>
  <si>
    <t>4</t>
  </si>
  <si>
    <t>Поступление электроэнергии в ЕНЭС</t>
  </si>
  <si>
    <t>4.1</t>
  </si>
  <si>
    <t>не сетевых организаций</t>
  </si>
  <si>
    <t>4.2</t>
  </si>
  <si>
    <t>4.2.1</t>
  </si>
  <si>
    <t>сетевой организации 1</t>
  </si>
  <si>
    <t>4.2.2</t>
  </si>
  <si>
    <t>сетевой организации 2</t>
  </si>
  <si>
    <t>5</t>
  </si>
  <si>
    <t>Потери электроэнергии</t>
  </si>
  <si>
    <t>6</t>
  </si>
  <si>
    <t>Отпуск (передача) электроэнергии</t>
  </si>
  <si>
    <t>6.1</t>
  </si>
  <si>
    <t>6.2</t>
  </si>
  <si>
    <t>6.2.1</t>
  </si>
  <si>
    <t>6.2.1.1</t>
  </si>
  <si>
    <t>также в сальдированном выражении (п. 6.2.1 - п. 4.2.1)</t>
  </si>
  <si>
    <t>6.2.2</t>
  </si>
  <si>
    <t>6.2.2.1</t>
  </si>
  <si>
    <t>также в сальдированном выражении (п. 6.2.2 - п. 4.2.2)</t>
  </si>
  <si>
    <t>7</t>
  </si>
  <si>
    <t>Трансформировано из сети ЕНЭС в:</t>
  </si>
  <si>
    <t>8</t>
  </si>
  <si>
    <t>- ВН</t>
  </si>
  <si>
    <t>9</t>
  </si>
  <si>
    <t>- СН1</t>
  </si>
  <si>
    <t>10</t>
  </si>
  <si>
    <t>- СН2</t>
  </si>
  <si>
    <t>11</t>
  </si>
  <si>
    <t>- НН</t>
  </si>
  <si>
    <t>12</t>
  </si>
  <si>
    <t>Поступление электроэнергии в сеть ВН 110 кВ</t>
  </si>
  <si>
    <t>12.1</t>
  </si>
  <si>
    <t>12.2</t>
  </si>
  <si>
    <t>12.2.1</t>
  </si>
  <si>
    <t>12.2.2</t>
  </si>
  <si>
    <t>13</t>
  </si>
  <si>
    <t>14</t>
  </si>
  <si>
    <t>14.1</t>
  </si>
  <si>
    <t>14.2</t>
  </si>
  <si>
    <t>также в сальдированном выражении (п. 14.2.1 - п. 12.2.1)</t>
  </si>
  <si>
    <t>14.2.2</t>
  </si>
  <si>
    <t>14.2.2.1</t>
  </si>
  <si>
    <t>также в сальдированном выражении (п. 14.2.2 - п. 12.2.2)</t>
  </si>
  <si>
    <t>15</t>
  </si>
  <si>
    <t>Трансформировано из 110 кВ в:</t>
  </si>
  <si>
    <t>16</t>
  </si>
  <si>
    <t>17</t>
  </si>
  <si>
    <t>18</t>
  </si>
  <si>
    <t>19</t>
  </si>
  <si>
    <t>Поступление электроэнергии в сеть СН1</t>
  </si>
  <si>
    <t>19.1</t>
  </si>
  <si>
    <t>19.2</t>
  </si>
  <si>
    <t>в т.ч из</t>
  </si>
  <si>
    <t>19.2.1</t>
  </si>
  <si>
    <t>19.2.2</t>
  </si>
  <si>
    <t>20</t>
  </si>
  <si>
    <t>21</t>
  </si>
  <si>
    <t>21.1</t>
  </si>
  <si>
    <t>21.2</t>
  </si>
  <si>
    <t>21.2.1</t>
  </si>
  <si>
    <t>21.2.1.1</t>
  </si>
  <si>
    <t>также в сальдированном выражении (п. 21.2.1- п. 19.2.1)</t>
  </si>
  <si>
    <t>21.2.2</t>
  </si>
  <si>
    <t>21.2.2.1</t>
  </si>
  <si>
    <t>также в сальдированном выражении (п. 21.2.2 - п. 19.2.2)</t>
  </si>
  <si>
    <t>22</t>
  </si>
  <si>
    <t>Трансформировано из 35 кВ в:</t>
  </si>
  <si>
    <t>23</t>
  </si>
  <si>
    <t>24</t>
  </si>
  <si>
    <t>25</t>
  </si>
  <si>
    <t>Поступление электроэнергии в сеть СН2</t>
  </si>
  <si>
    <t>25.1</t>
  </si>
  <si>
    <t>25.2</t>
  </si>
  <si>
    <t>25.2.1</t>
  </si>
  <si>
    <t>25.2.2</t>
  </si>
  <si>
    <t>26</t>
  </si>
  <si>
    <t>27</t>
  </si>
  <si>
    <t>27.1</t>
  </si>
  <si>
    <t>27.2</t>
  </si>
  <si>
    <t>также в сальдированном выражении (п. 27.2.1 - п. 25.2.1)</t>
  </si>
  <si>
    <t>27.2.2</t>
  </si>
  <si>
    <t>27.2.2.1</t>
  </si>
  <si>
    <t>также в сальдированном выражении (п. 27.2.2 - п. 25.2.2)</t>
  </si>
  <si>
    <t>28</t>
  </si>
  <si>
    <t>Трансформировано из 10-6 кВ в:</t>
  </si>
  <si>
    <t>29</t>
  </si>
  <si>
    <t>30</t>
  </si>
  <si>
    <t>Поступление электроэнергии в сеть НН</t>
  </si>
  <si>
    <t>30.1</t>
  </si>
  <si>
    <t>30.2</t>
  </si>
  <si>
    <t>30.2.1</t>
  </si>
  <si>
    <t>30.2.2</t>
  </si>
  <si>
    <t>31</t>
  </si>
  <si>
    <t>32</t>
  </si>
  <si>
    <t>32.2.1</t>
  </si>
  <si>
    <t>32.2.1.1</t>
  </si>
  <si>
    <t>также в сальдированном выражении (п. 32.2.1 - п. 30.2.1)</t>
  </si>
  <si>
    <t>32.2.2</t>
  </si>
  <si>
    <t>32.2.2.1</t>
  </si>
  <si>
    <t>также в сальдированном выражении (п. 32.2.2 - п. 30.2.2)</t>
  </si>
  <si>
    <r>
      <t>N</t>
    </r>
    <r>
      <rPr>
        <b/>
        <vertAlign val="superscript"/>
        <sz val="10"/>
        <color indexed="56"/>
        <rFont val="Times New Roman"/>
        <family val="1"/>
        <charset val="204"/>
      </rPr>
      <t>на потери</t>
    </r>
    <r>
      <rPr>
        <b/>
        <sz val="10"/>
        <color indexed="56"/>
        <rFont val="Times New Roman"/>
        <family val="1"/>
        <charset val="204"/>
      </rPr>
      <t>, Мвт (заявл.мощн.                   на потери)</t>
    </r>
  </si>
  <si>
    <t>ИТОГО N                                    (Т № П 1.30)</t>
  </si>
  <si>
    <t xml:space="preserve">НН несетевые </t>
  </si>
  <si>
    <t xml:space="preserve"> СН2 население</t>
  </si>
  <si>
    <t>одност. руб./МВт.ч</t>
  </si>
  <si>
    <t>проверка по 2-х став.</t>
  </si>
  <si>
    <t>2011 г.</t>
  </si>
  <si>
    <t>П1.30</t>
  </si>
  <si>
    <t xml:space="preserve">В п.1 учтены трудозатраты оперативного персонала подстанций напряжением 35-1150 кВ. </t>
  </si>
  <si>
    <t>Условные единицы по пп.2-9 учитывают трудозатраты по обслуживанию и ремонту оборудования, не включенного в номенклатуру условных единиц (трансформаторы напряжения, аккумуляторные батареи, сборные шины и т.д.), резервного оборудования.</t>
  </si>
  <si>
    <t xml:space="preserve">Условные единицы по п 2 "Силовые трансформаторы 1-20 кВ" определяются только для трансформаторов, используемых для собственных нужд подстанций 35-1150 кВ.  </t>
  </si>
  <si>
    <t>По пп. 3-6 учтены дополнительные трудозатраты на обслуживание и ремонт устройств релейной защиты  и автоматики, а для воздушных выключателей (п.3) - дополнительно трудозатраты по обслуживанию и ремонту компрессорных установок.</t>
  </si>
  <si>
    <t>Значение условных единиц пп.4 и 6  "Масляные выключатели  1-20 кВ" и "Выключатели нагрузки 1-20 кВ" относятся к коммутационным аппаратам, установленным в распределительных устройствах  1-20 кВ подстанций 35-1150 кВ , ТП, КТП и РП 1-20 кВ , а так же к секц</t>
  </si>
  <si>
    <t>Объем РП 1-20 кВ в условных единицах определяется по количеству установленных масляных выключателей (п.4) и выключателей нагрузки (п.6). При установке в РП трансформаторов 1-20/0,4 кВ дополнительные объемы обслуживания определяются по п.11 или  12.</t>
  </si>
  <si>
    <t>По пп.10-12 дополнительно учтены трудозатраты оперативного персонала распределительных сетей 0,4-20 кВ.</t>
  </si>
  <si>
    <t xml:space="preserve">По пп.1,2 условные единицы относятся на уровень напряжения, соответствующий первичному напряжению. </t>
  </si>
  <si>
    <t>Условные единицы электрооборудования понизительных подстанций относятся на уровень высшего напряжения</t>
  </si>
  <si>
    <t>Население, проживающее в городских населенных пунктах, оборудованных в установленном порядке стационарными газовыми плитами, а также потребители городских населенных пунктов, приравненные к населению</t>
  </si>
  <si>
    <t>Население, проживающее в домах, оборудованных в установленном порядке стационарными электроплитами;                                                                                                                                                                                          население, проживающее в сельских населенных пунктах, а также потребители сельских населенных пунктов,                                                                                               приравненные к населению</t>
  </si>
  <si>
    <t>ОАО "Самараэнерго"</t>
  </si>
  <si>
    <t>______________________  М. В. Сойфер</t>
  </si>
  <si>
    <t>План 2011 г.,                             тыс. руб</t>
  </si>
  <si>
    <t>Прибыль на социальное развитие, оздоровление и отдых</t>
  </si>
  <si>
    <t>2009г.</t>
  </si>
  <si>
    <t>т.р.</t>
  </si>
  <si>
    <t>на 1-ого раб.</t>
  </si>
  <si>
    <t>9 мес.2010 г.</t>
  </si>
  <si>
    <t>Согласно предоставленному штатному расписанию службы энергомеханического обеспечения</t>
  </si>
  <si>
    <r>
      <t>тарифная ставка (оклад) в месяц производственных рабочих участка энергоснабжения (4 чел.) - 30 070,00 руб</t>
    </r>
    <r>
      <rPr>
        <b/>
        <i/>
        <sz val="11"/>
        <rFont val="Times New Roman Cyr"/>
        <charset val="204"/>
      </rPr>
      <t>.,</t>
    </r>
  </si>
  <si>
    <t>тарифная ставка (оклад) в месяц всех рабочих службы ЭМО (15,5 чел.) - 98 604,60 руб.</t>
  </si>
  <si>
    <t>Поставщик</t>
  </si>
  <si>
    <t>Дата</t>
  </si>
  <si>
    <t>Счет-фактура</t>
  </si>
  <si>
    <r>
      <t xml:space="preserve">Сумма,                               </t>
    </r>
    <r>
      <rPr>
        <b/>
        <sz val="10"/>
        <rFont val="Times New Roman"/>
        <family val="1"/>
        <charset val="204"/>
      </rPr>
      <t>руб.</t>
    </r>
    <r>
      <rPr>
        <sz val="1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 xml:space="preserve">                              </t>
    </r>
    <r>
      <rPr>
        <sz val="10"/>
        <rFont val="Times New Roman"/>
        <family val="1"/>
        <charset val="204"/>
      </rPr>
      <t xml:space="preserve"> с НДС</t>
    </r>
  </si>
  <si>
    <r>
      <t xml:space="preserve">Сумма,                               </t>
    </r>
    <r>
      <rPr>
        <b/>
        <sz val="10"/>
        <rFont val="Times New Roman"/>
        <family val="1"/>
        <charset val="204"/>
      </rPr>
      <t xml:space="preserve">руб.  </t>
    </r>
    <r>
      <rPr>
        <sz val="12"/>
        <rFont val="Times New Roman"/>
        <family val="1"/>
        <charset val="204"/>
      </rPr>
      <t xml:space="preserve">       </t>
    </r>
    <r>
      <rPr>
        <sz val="10"/>
        <rFont val="Times New Roman"/>
        <family val="1"/>
        <charset val="204"/>
      </rPr>
      <t xml:space="preserve">                       с НДС</t>
    </r>
  </si>
  <si>
    <t>хоз.способ</t>
  </si>
  <si>
    <t>Вспомогательные материалы при выполнении работ по ремонту и техническому обслуживанию</t>
  </si>
  <si>
    <t>Расходы по содержанию и эксплуатации оборудования</t>
  </si>
  <si>
    <t>счета-фактуры, платежные поручения), расшифровка материальных затрат за 9мес.10 г. (стр.___ дела)</t>
  </si>
  <si>
    <t xml:space="preserve">Итого услуги </t>
  </si>
  <si>
    <t>Итого вспомогательные материалы</t>
  </si>
  <si>
    <t>2010 г. - 2011 г.</t>
  </si>
  <si>
    <t>г.вв.</t>
  </si>
  <si>
    <t xml:space="preserve">Наименование </t>
  </si>
  <si>
    <t>Ввод октябрь 2010 г.</t>
  </si>
  <si>
    <t>скрыть</t>
  </si>
  <si>
    <t>Приобретение и монтаж резервного трансформатора ТМ-250 6/0,4 на ТП-203</t>
  </si>
  <si>
    <t xml:space="preserve"> ТП-212</t>
  </si>
  <si>
    <t>Ремонт крыши 42 кв.м</t>
  </si>
  <si>
    <t>материалы на ремонт + зарплата рабочих строительного подразделения</t>
  </si>
  <si>
    <t>Замена 3-х дверей на металлические</t>
  </si>
  <si>
    <t>Ремонт пола 42,0 кв.м</t>
  </si>
  <si>
    <t>Ремонт стен внутри подстанции 138 кв.м</t>
  </si>
  <si>
    <t>Приобретение и монтаж ячеек КРУ-2-10 в кол-ве 6 шт.</t>
  </si>
  <si>
    <t>Обустройство вентиляции</t>
  </si>
  <si>
    <t xml:space="preserve"> ТП-3</t>
  </si>
  <si>
    <t>Ремонт пола (бетонирование) 40 кв.м</t>
  </si>
  <si>
    <t>Покраска дверей - 4 шт.</t>
  </si>
  <si>
    <t xml:space="preserve">Приобретение и монтаж ячеек КРУ-2-10 </t>
  </si>
  <si>
    <t>хоз.способ (строительное подразделение)</t>
  </si>
  <si>
    <t>Обучение специалистов правилам и нормам безопасной эксплуатации электроустановок</t>
  </si>
  <si>
    <t xml:space="preserve"> Ежегодное медицинское освидетельствование электротехнического персонала</t>
  </si>
  <si>
    <t>Расходы на приобретение спецодежды</t>
  </si>
  <si>
    <t>сторонние организации</t>
  </si>
  <si>
    <t>Обеспечение огнетушителями, средствами электрозащиты, медицинскими аптечками и т.д. (противоаварийные и противопожарные мероприятия)</t>
  </si>
  <si>
    <t>Расходы на приобретение инструмента и инвентаря электрохозяйственного назначения (бокорезы, отвертки, пассатижы, круглогубцы, вольтметры)</t>
  </si>
  <si>
    <t>Расходы на трансформаторное масло</t>
  </si>
  <si>
    <t>Вспомогательные материалы для проведения профилактических работ на ТП</t>
  </si>
  <si>
    <t>Проверка сопротивления изоляции кабельных сетей</t>
  </si>
  <si>
    <t xml:space="preserve">сторонняя организация </t>
  </si>
  <si>
    <t>Постановление правительства РФ от 30.12.2009г. № 1140</t>
  </si>
  <si>
    <t>1.1.3.</t>
  </si>
  <si>
    <t>1.1.4.</t>
  </si>
  <si>
    <t>1.1.5.</t>
  </si>
  <si>
    <t>1.1.6.</t>
  </si>
  <si>
    <t>1.2.1.</t>
  </si>
  <si>
    <t>1.2.2.</t>
  </si>
  <si>
    <t>1.2.3.</t>
  </si>
  <si>
    <t>Электротехнические материалы</t>
  </si>
  <si>
    <t xml:space="preserve">Вспомогательные материалы </t>
  </si>
  <si>
    <t>Итого ремонт п.1</t>
  </si>
  <si>
    <t xml:space="preserve">Ремонтно-строительные работы на ТП </t>
  </si>
  <si>
    <t xml:space="preserve">Работы и услуги производственного характера </t>
  </si>
  <si>
    <r>
      <t>Ремонт и обслуживание злектрических сетей</t>
    </r>
    <r>
      <rPr>
        <sz val="10"/>
        <color indexed="10"/>
        <rFont val="Times New Roman"/>
        <family val="1"/>
        <charset val="204"/>
      </rPr>
      <t xml:space="preserve"> (90,0тыс.руб.)</t>
    </r>
  </si>
  <si>
    <r>
      <t xml:space="preserve">Норма аморти- зации 2011г.,               </t>
    </r>
    <r>
      <rPr>
        <b/>
        <sz val="10"/>
        <rFont val="Times New Roman"/>
        <family val="1"/>
        <charset val="204"/>
      </rPr>
      <t>%</t>
    </r>
  </si>
  <si>
    <t>Остаточная стоимость         на 01.01.10г.</t>
  </si>
  <si>
    <t>Амортиза- ция за январь 2010г.</t>
  </si>
  <si>
    <t>Остаточная стоимость         на 01.11.10г.</t>
  </si>
  <si>
    <t>Амортиза- ция за 2010год, руб.</t>
  </si>
  <si>
    <t>Остаточная стоимость         на 01.01.11г.</t>
  </si>
  <si>
    <t>Амортиза- ция за 2011год, руб.</t>
  </si>
  <si>
    <t>Остаточная стоимость         на 01.01.12г.</t>
  </si>
  <si>
    <t>общецехового назначения энергохозяйства ОАО «1253 ЦРБРЛВ»</t>
  </si>
  <si>
    <t>Амортизация общецехового назначения энергохозяйства распределена на участок передачи электроэнергии пропорционально основной зарплате рабочих службы ЭМО.</t>
  </si>
  <si>
    <t xml:space="preserve">Доля на участок передачи электроэнергии составит  Д = 30 070,00 руб. / 98 604,60 тыс.руб. = </t>
  </si>
  <si>
    <t>Здание № 20 (энергомеханический участок)</t>
  </si>
  <si>
    <t>Амортизационные отчисления  общецехового назначения энергохозяйства ОАО «1253 ЦРБРЛВ» на участок электроснабжения составят  -</t>
  </si>
  <si>
    <t>(7 078,20 руб. / 1000 х 30,50% = 2,2 тыс.руб.)</t>
  </si>
  <si>
    <t>Электротехнические материалы (ремонт и обслуживание злектрических сетей и ТП)</t>
  </si>
  <si>
    <t>между ОАО "1253 ЦРБРЛВ" и ОАО «МРСК Волги» (филиал «Самарские распределительные сети»)</t>
  </si>
  <si>
    <t>Единые (котловые) тарифы на услуги по передаче электрической энергии на 2011 г.</t>
  </si>
  <si>
    <t>ОАО "1253 ЦРБРЛВ" от Самараэнерго и сетевых организаций ООО "Энерго" и ООО "Засамарская сетевая компания"</t>
  </si>
  <si>
    <t>Энерго</t>
  </si>
  <si>
    <t>уд.вес.</t>
  </si>
  <si>
    <t>доля по МВт.ч               (без потерь)</t>
  </si>
  <si>
    <t>ОАО "1253 ЦРБРЛВ" отдаст ОАО "МРСК Волги", тыс.руб.</t>
  </si>
  <si>
    <t xml:space="preserve">НВВ ОАО "1253 ЦРБРЛВ" </t>
  </si>
  <si>
    <t>Выручка ОАО "1253 ЦРБРЛВ" от оказания услуг по передаче, тыс.руб.</t>
  </si>
  <si>
    <t xml:space="preserve">2) ООО "Энерго"и </t>
  </si>
  <si>
    <t>3) ОО "Засамарская сетевая компания" - нижестоящие</t>
  </si>
  <si>
    <t>по договорам 2011 г.</t>
  </si>
  <si>
    <t>СН2 сетевым ООО "ЗаСеКо"</t>
  </si>
  <si>
    <t>чччи, час.</t>
  </si>
  <si>
    <r>
      <rPr>
        <b/>
        <sz val="10"/>
        <color indexed="10"/>
        <rFont val="Times New Roman"/>
        <family val="1"/>
        <charset val="204"/>
      </rPr>
      <t>I.</t>
    </r>
    <r>
      <rPr>
        <b/>
        <sz val="10"/>
        <rFont val="Times New Roman"/>
        <family val="1"/>
        <charset val="204"/>
      </rPr>
      <t xml:space="preserve"> ОАО "1253 ЦРБРЛВ" </t>
    </r>
    <r>
      <rPr>
        <b/>
        <sz val="10"/>
        <color indexed="10"/>
        <rFont val="Times New Roman"/>
        <family val="1"/>
        <charset val="204"/>
      </rPr>
      <t xml:space="preserve">получит </t>
    </r>
    <r>
      <rPr>
        <b/>
        <sz val="10"/>
        <rFont val="Times New Roman"/>
        <family val="1"/>
        <charset val="204"/>
      </rPr>
      <t>по ед.котловому тарифу 2-х ставочному</t>
    </r>
    <r>
      <rPr>
        <b/>
        <sz val="10"/>
        <color indexed="10"/>
        <rFont val="Times New Roman"/>
        <family val="1"/>
        <charset val="204"/>
      </rPr>
      <t xml:space="preserve"> </t>
    </r>
    <r>
      <rPr>
        <b/>
        <sz val="10"/>
        <rFont val="Times New Roman"/>
        <family val="1"/>
        <charset val="204"/>
      </rPr>
      <t>от Самара-Энерго за потребителей, тыс.руб.</t>
    </r>
  </si>
  <si>
    <r>
      <rPr>
        <b/>
        <sz val="10"/>
        <color indexed="10"/>
        <rFont val="Times New Roman"/>
        <family val="1"/>
        <charset val="204"/>
      </rPr>
      <t>II.</t>
    </r>
    <r>
      <rPr>
        <b/>
        <sz val="10"/>
        <rFont val="Times New Roman"/>
        <family val="1"/>
        <charset val="204"/>
      </rPr>
      <t xml:space="preserve"> ОАО "1253 ЦРБРЛВ" </t>
    </r>
    <r>
      <rPr>
        <b/>
        <sz val="10"/>
        <color indexed="10"/>
        <rFont val="Times New Roman"/>
        <family val="1"/>
        <charset val="204"/>
      </rPr>
      <t>получит</t>
    </r>
    <r>
      <rPr>
        <b/>
        <sz val="10"/>
        <rFont val="Times New Roman"/>
        <family val="1"/>
        <charset val="204"/>
      </rPr>
      <t xml:space="preserve"> от ООО "Энерго" за потребителей, тыс.руб.</t>
    </r>
  </si>
  <si>
    <r>
      <rPr>
        <b/>
        <sz val="10"/>
        <color indexed="10"/>
        <rFont val="Times New Roman"/>
        <family val="1"/>
        <charset val="204"/>
      </rPr>
      <t xml:space="preserve">III. ОАО "1253 ЦРБРЛВ" получит от ООО </t>
    </r>
    <r>
      <rPr>
        <b/>
        <sz val="10"/>
        <rFont val="Times New Roman"/>
        <family val="1"/>
        <charset val="204"/>
      </rPr>
      <t>"ЗаСеКо" за потребителей, тыс.руб.</t>
    </r>
  </si>
  <si>
    <t>ЗАО "ЗаСеКо" тариф</t>
  </si>
  <si>
    <t>ЗАО "ЗаСеКо"</t>
  </si>
  <si>
    <r>
      <t xml:space="preserve"> Расчет по договорам оказания услуг по передаче электрической энергии  </t>
    </r>
    <r>
      <rPr>
        <b/>
        <sz val="12"/>
        <color indexed="10"/>
        <rFont val="Times New Roman"/>
        <family val="1"/>
        <charset val="204"/>
      </rPr>
      <t>на 2011 г.</t>
    </r>
  </si>
  <si>
    <t>платежи от 3-х орг. В адрес ОАО "1253 ЦРБРЛВ" по один.тарифу</t>
  </si>
  <si>
    <t>Платежи в адрес ОАО "1253 ЦРБРЛВ" от :</t>
  </si>
  <si>
    <t>ЗаСеКо</t>
  </si>
  <si>
    <t>Содер- жание</t>
  </si>
  <si>
    <t>ФГУП «ГНПРКЦ «ЦСКБ-Прогресс»  на 2012 год</t>
  </si>
  <si>
    <t>ФГУП «ГНПРКЦ «ЦСКБ-Прогресс»</t>
  </si>
  <si>
    <t>общецехового назначения энергохозяйства ФГУП «ГНПРКЦ «ЦСКБ-Прогресс»</t>
  </si>
  <si>
    <t>общезаводского назначения ФГУП «ГНПРКЦ «ЦСКБ-Прогресс»</t>
  </si>
  <si>
    <t>2012 г.</t>
  </si>
  <si>
    <t xml:space="preserve">Первый зам. генерального директора - </t>
  </si>
  <si>
    <t xml:space="preserve">главный инженер
</t>
  </si>
  <si>
    <t>С. В. Тюлевин</t>
  </si>
  <si>
    <t>3.2.3</t>
  </si>
  <si>
    <t>сетевой организации ОАО "РЖД"</t>
  </si>
  <si>
    <t>3.2.3.1</t>
  </si>
  <si>
    <t>3.2.4</t>
  </si>
  <si>
    <t xml:space="preserve">МП “Самарский метрополитен” </t>
  </si>
  <si>
    <t>3.2.4.1</t>
  </si>
  <si>
    <t>3.2.5</t>
  </si>
  <si>
    <t xml:space="preserve"> ЗАО "ССК" </t>
  </si>
  <si>
    <t>3.2.5.1</t>
  </si>
  <si>
    <t>также в сальдированном выражении (п. 3.2.3 - п. 1.2.3)</t>
  </si>
  <si>
    <t>Х</t>
  </si>
  <si>
    <t>14.2.3</t>
  </si>
  <si>
    <t>ОАО"РЖД"</t>
  </si>
  <si>
    <t>14.2.3.1</t>
  </si>
  <si>
    <t>14.2.4</t>
  </si>
  <si>
    <t>14.2.4.1</t>
  </si>
  <si>
    <t>27.2.5</t>
  </si>
  <si>
    <t>27.2.5.1</t>
  </si>
  <si>
    <t xml:space="preserve">ЗАО "ССК" </t>
  </si>
  <si>
    <t>Руководитель  ОАО МРСК Волги"   _________________________________</t>
  </si>
  <si>
    <t>Руководитель  ОАО "РЖД"   ______________________________________</t>
  </si>
  <si>
    <t xml:space="preserve">Руководитель МП г.о. Самара </t>
  </si>
  <si>
    <t>Руководитель  ООО "Энерго"   ______________________________________</t>
  </si>
  <si>
    <t>Руководитель  ЗАО "ССК"   _________________________________________</t>
  </si>
  <si>
    <t xml:space="preserve">главный инженер </t>
  </si>
  <si>
    <t>_____________________ С. В. Тюлевин</t>
  </si>
  <si>
    <t>доля</t>
  </si>
  <si>
    <t>главный инженер</t>
  </si>
  <si>
    <t xml:space="preserve">Система условных единиц для распределения </t>
  </si>
  <si>
    <t xml:space="preserve">общей суммы тарифной выручки по классам напряжения </t>
  </si>
  <si>
    <t>Показатель</t>
  </si>
  <si>
    <t>Ед.изм.</t>
  </si>
  <si>
    <t>у.е.</t>
  </si>
  <si>
    <t>Приложение 1</t>
  </si>
  <si>
    <t>№п/п</t>
  </si>
  <si>
    <t xml:space="preserve">Утверждено на 2011 год </t>
  </si>
  <si>
    <t>Базовый (первый) год долгосрочного периода регулирования                   2012 год</t>
  </si>
  <si>
    <t>НВВ 2011</t>
  </si>
  <si>
    <t>НВВ 2012</t>
  </si>
  <si>
    <r>
      <t xml:space="preserve">НВВ сетевой организации ВСЕГО </t>
    </r>
    <r>
      <rPr>
        <sz val="11"/>
        <rFont val="Arial Cyr"/>
        <charset val="204"/>
      </rPr>
      <t xml:space="preserve">(без учета расходов на оплату услуг территориальных сетевых организаций, расходов на оплату потерь электроэнергии) </t>
    </r>
  </si>
  <si>
    <t>Табл. П.1.24</t>
  </si>
  <si>
    <t>Подконтрольные расходы</t>
  </si>
  <si>
    <t>Материальные затраты</t>
  </si>
  <si>
    <t>1.1.1.1.</t>
  </si>
  <si>
    <t>Сырье, материалы, запасные части, инструмент, топливо</t>
  </si>
  <si>
    <t>1.1.1.2.</t>
  </si>
  <si>
    <t>Работы и услуги производственного характера (в т.ч. услуги сторонних организаций по содержанию сетей и распределительных устройств)</t>
  </si>
  <si>
    <t>Расходы на оплату труда</t>
  </si>
  <si>
    <t>Прочие расходы, всего, в том числе:</t>
  </si>
  <si>
    <t>1.1.3.1.</t>
  </si>
  <si>
    <t>Ремонт основных фондов</t>
  </si>
  <si>
    <t>механизмы по ЛС</t>
  </si>
  <si>
    <t>1.1.3.2.</t>
  </si>
  <si>
    <t>Оплата работ и услуг сторонних организаций</t>
  </si>
  <si>
    <t>1.1.3.2.1.</t>
  </si>
  <si>
    <t>услуги связи</t>
  </si>
  <si>
    <t>1.1.3.2.2.</t>
  </si>
  <si>
    <t>Расходы на услуги вневедомственной охраны и коммунального хозяйства</t>
  </si>
  <si>
    <t>1.1.3.2.3.</t>
  </si>
  <si>
    <t>Расходы на юридические и информационные услуги</t>
  </si>
  <si>
    <t>1.1.3.2.4.</t>
  </si>
  <si>
    <t>Расходы на аудиторские и консультационные услуги</t>
  </si>
  <si>
    <t>1.1.3.2.5.</t>
  </si>
  <si>
    <t>Транспортные услуги</t>
  </si>
  <si>
    <t>1.1.3.2.6.</t>
  </si>
  <si>
    <t>Прочие услуги сторонних организаций</t>
  </si>
  <si>
    <t xml:space="preserve">усл.банка, ремонт </t>
  </si>
  <si>
    <t>1.1.3.3.</t>
  </si>
  <si>
    <t>Расходы на командировки и представительские</t>
  </si>
  <si>
    <t>1.1.3.4.</t>
  </si>
  <si>
    <t>Расходы на подготовку кадров</t>
  </si>
  <si>
    <t>1.1.3.5.</t>
  </si>
  <si>
    <t>Расходы на обеспечение нормальных условий труда и мер по технике безопасности</t>
  </si>
  <si>
    <t>прочие ОХР</t>
  </si>
  <si>
    <t>1.1.3.6.</t>
  </si>
  <si>
    <t>Расходы на страхование</t>
  </si>
  <si>
    <t>1.1.3.7.</t>
  </si>
  <si>
    <t>Расходы из прибыли, в т.ч.:</t>
  </si>
  <si>
    <t>1.1.4.1.</t>
  </si>
  <si>
    <t>расходы на обслуживание  заемных средств</t>
  </si>
  <si>
    <t>1.1.4.2.</t>
  </si>
  <si>
    <t>расходы по коллективным договорам</t>
  </si>
  <si>
    <t>1.1.4.3.</t>
  </si>
  <si>
    <t>прочие расходы из прибыли</t>
  </si>
  <si>
    <t>Неподконтрольные расходы</t>
  </si>
  <si>
    <t>Оплата услуг ОАО "ФСК ЕЭС"</t>
  </si>
  <si>
    <t>Электроэнергия на хоз. нужды</t>
  </si>
  <si>
    <t>1.2.4.</t>
  </si>
  <si>
    <t>Плата за аренду имущества и лизинг</t>
  </si>
  <si>
    <t>1.2.5.</t>
  </si>
  <si>
    <t>Налоги,всего, в том числе:</t>
  </si>
  <si>
    <t>1.2.5.1.</t>
  </si>
  <si>
    <t>плата за землю</t>
  </si>
  <si>
    <t>1.2.5.2.</t>
  </si>
  <si>
    <t>Налог на имущество</t>
  </si>
  <si>
    <t>1.2.5.3.</t>
  </si>
  <si>
    <t>Прочие налоги и сборы</t>
  </si>
  <si>
    <t>плата за негативное возд.на окр.среду</t>
  </si>
  <si>
    <t>1.2.6.</t>
  </si>
  <si>
    <t>Отчисления на социальные нужды (ЕСН)</t>
  </si>
  <si>
    <t>1.2.7.</t>
  </si>
  <si>
    <t>Амортизация основных средств</t>
  </si>
  <si>
    <t>1.2.8.</t>
  </si>
  <si>
    <t>Расходы на финансирование капитальных вложений</t>
  </si>
  <si>
    <t>1.2.11.</t>
  </si>
  <si>
    <t>Прочие неподконтрольные расходы</t>
  </si>
  <si>
    <t>плата за ОС</t>
  </si>
  <si>
    <t>1.2.12.</t>
  </si>
  <si>
    <t>Налог на прибыль</t>
  </si>
  <si>
    <t>1.2.13.</t>
  </si>
  <si>
    <t>Выпадающие доходы/экономия средств</t>
  </si>
  <si>
    <t>на передачу сторонним потребителям</t>
  </si>
  <si>
    <t xml:space="preserve"> 2010 год</t>
  </si>
  <si>
    <t xml:space="preserve"> и составят (тыс.руб. ) = 393,7 тыс.руб. х 1,079 =  </t>
  </si>
  <si>
    <r>
      <rPr>
        <b/>
        <sz val="11"/>
        <rFont val="Times New Roman"/>
        <family val="1"/>
        <charset val="204"/>
      </rPr>
      <t>На 2012 г.</t>
    </r>
    <r>
      <rPr>
        <sz val="11"/>
        <rFont val="Times New Roman"/>
        <family val="1"/>
        <charset val="204"/>
      </rPr>
      <t xml:space="preserve"> затраты по статье "электротехнические материалы" проиндексированы на К</t>
    </r>
    <r>
      <rPr>
        <vertAlign val="subscript"/>
        <sz val="11"/>
        <rFont val="Times New Roman"/>
        <family val="1"/>
        <charset val="204"/>
      </rPr>
      <t xml:space="preserve">инд.к 2010г. </t>
    </r>
    <r>
      <rPr>
        <sz val="11"/>
        <rFont val="Times New Roman"/>
        <family val="1"/>
        <charset val="204"/>
      </rPr>
      <t>= 1,079  И к =1,06</t>
    </r>
  </si>
  <si>
    <t>Экспертиза технологических потерь электрической энергии, расчет и обоснование тарифов на услуги по передаче электроэнергии , ЕИАС</t>
  </si>
  <si>
    <r>
      <t xml:space="preserve">Расходы на стандарты раскрытия информации организации, осуществляющей регулируемые виды деятельности </t>
    </r>
    <r>
      <rPr>
        <sz val="11"/>
        <rFont val="Times New Roman"/>
        <family val="1"/>
        <charset val="204"/>
      </rPr>
      <t>(публикация в газете Волжская коммуна  бухгалтерской отчетности)</t>
    </r>
  </si>
  <si>
    <t xml:space="preserve">     2011 г.           </t>
  </si>
  <si>
    <t xml:space="preserve">     2012 г.</t>
  </si>
  <si>
    <t>по участку электроснабжения ФГУП «ГНПРКЦ «ЦСКБ-Прогресс» 2011 г.</t>
  </si>
  <si>
    <t>чел.</t>
  </si>
  <si>
    <t xml:space="preserve"> тыс.руб. без НДС</t>
  </si>
  <si>
    <t>и составят = 621,1 х 1,06 =</t>
  </si>
  <si>
    <t>кВтч</t>
  </si>
  <si>
    <t>Собственное потребление</t>
  </si>
  <si>
    <t>ООО "ЭТК "Содействие"</t>
  </si>
  <si>
    <t>№ КЭТ 0003024</t>
  </si>
  <si>
    <t>№ 10745</t>
  </si>
  <si>
    <t>31.05.10</t>
  </si>
  <si>
    <t>28.05.10</t>
  </si>
  <si>
    <t>№ КЭТ 0003011</t>
  </si>
  <si>
    <t>№ КЭТ 0002999</t>
  </si>
  <si>
    <t>21.06.10</t>
  </si>
  <si>
    <t>№ КЭТ 0003399</t>
  </si>
  <si>
    <t>№ КЭТ 0003411</t>
  </si>
  <si>
    <t>№ КЭТ 0003397</t>
  </si>
  <si>
    <t>№ КЭТ 0003443</t>
  </si>
  <si>
    <t>№ КЭТ 0003442</t>
  </si>
  <si>
    <t>№ КЭТ 0003432</t>
  </si>
  <si>
    <t>№ КЭТ 0003663</t>
  </si>
  <si>
    <t>02.07.10</t>
  </si>
  <si>
    <t>№ КЭТ 0003654</t>
  </si>
  <si>
    <t>№ КЭТ 0003655</t>
  </si>
  <si>
    <t>№ КЭТ 0003963</t>
  </si>
  <si>
    <t>20.07.10</t>
  </si>
  <si>
    <t>№ КЭТ 0003964</t>
  </si>
  <si>
    <t>№ КЭТ 0003956</t>
  </si>
  <si>
    <t>24.09.10</t>
  </si>
  <si>
    <t>№ КЭТ 0004933</t>
  </si>
  <si>
    <t>ООО "Раскат"</t>
  </si>
  <si>
    <t>№ 42</t>
  </si>
  <si>
    <t>№ 10804</t>
  </si>
  <si>
    <t>10.06.10</t>
  </si>
  <si>
    <t>№ 12032</t>
  </si>
  <si>
    <t>№ 12009</t>
  </si>
  <si>
    <t>№ 12001</t>
  </si>
  <si>
    <t>13.07.10</t>
  </si>
  <si>
    <t>№ 14959</t>
  </si>
  <si>
    <t>№ 14954</t>
  </si>
  <si>
    <t>№ 14933</t>
  </si>
  <si>
    <t>17.09.2010</t>
  </si>
  <si>
    <t>№ 20618</t>
  </si>
  <si>
    <r>
      <t xml:space="preserve">На </t>
    </r>
    <r>
      <rPr>
        <b/>
        <sz val="12"/>
        <rFont val="Times New Roman"/>
        <family val="1"/>
        <charset val="204"/>
      </rPr>
      <t xml:space="preserve">2012 г. </t>
    </r>
    <r>
      <rPr>
        <sz val="12"/>
        <rFont val="Times New Roman"/>
        <family val="1"/>
        <charset val="204"/>
      </rPr>
      <t>затраты по статье "вспомогательные материалы" проиндексированы на К</t>
    </r>
    <r>
      <rPr>
        <vertAlign val="subscript"/>
        <sz val="12"/>
        <rFont val="Times New Roman"/>
        <family val="1"/>
        <charset val="204"/>
      </rPr>
      <t xml:space="preserve">инд.к 2011г. </t>
    </r>
    <r>
      <rPr>
        <sz val="12"/>
        <rFont val="Times New Roman"/>
        <family val="1"/>
        <charset val="204"/>
      </rPr>
      <t>= 1,06</t>
    </r>
  </si>
  <si>
    <t>Реестр документов, подтверждающих поступление электротехнических материалов на обслуживание и ремонт оборудования участка электроснабжения потребителей ФГУП «ГНПРКЦ «ЦСКБ-Прогресс» 2010 г.</t>
  </si>
  <si>
    <t>НОУ «ЦДО «Промэнерго- безопасность»</t>
  </si>
  <si>
    <t>по плат.</t>
  </si>
  <si>
    <t>Организация информационного взаимодействия с органом исполнительной власти субъекта РФ в области государственного регулирования тарифов в рамках функционирования ЕАИС ФСТ</t>
  </si>
  <si>
    <t>Расчет НВВ на 2012 г., обеспечивающей компенсацию экономически обоснованных расходов на осуществление деятельности по передаче электрической энергии</t>
  </si>
  <si>
    <t>Дог. № 95/11 от 25.01.2011 г.</t>
  </si>
  <si>
    <t>Дог. № 94/11 от 25.01.2011 г.</t>
  </si>
  <si>
    <t>Дог. № 21/11 от 14.01.2011 г.</t>
  </si>
  <si>
    <t xml:space="preserve"> по участку электроснабжения  ФГУП «ГНПРКЦ «ЦСКБ-Прогресс» на 2012 г.</t>
  </si>
  <si>
    <t>Затраты по п.1 и п.3 рассчитаны на численность ППП по участку передачи эл.энергии сторонним потребителям - 15 чел.</t>
  </si>
  <si>
    <t>Затраты по п.6 "Расходы на приобретение спецодежды" рассчитаны на численность ППП по участку передачи эл.энергии</t>
  </si>
  <si>
    <t>по факту 2010 г. с учетом Кинд.к 2011г.= 1,079  и Кинд.к 2012г.=1,06</t>
  </si>
  <si>
    <t xml:space="preserve">Однотрансфор-маторная подстанция 35/0,4 кВ </t>
  </si>
  <si>
    <t>по данным Самараэнерго</t>
  </si>
  <si>
    <t>Приложение №  1</t>
  </si>
  <si>
    <t>верно</t>
  </si>
  <si>
    <t>Поступление</t>
  </si>
  <si>
    <r>
      <t>Структура полезного отпуска электрической энергии (мощности) на</t>
    </r>
    <r>
      <rPr>
        <b/>
        <sz val="12"/>
        <color indexed="10"/>
        <rFont val="Arial Cyr"/>
        <charset val="204"/>
      </rPr>
      <t xml:space="preserve"> 2012 год         </t>
    </r>
  </si>
  <si>
    <t xml:space="preserve">ФГУП «ГНПРКЦ «ЦСКБ-Прогресс» </t>
  </si>
  <si>
    <t>Электрическая энергия, тыс.кВт.ч</t>
  </si>
  <si>
    <t>в т.ч.:</t>
  </si>
  <si>
    <t>1.1  Прочие потребители</t>
  </si>
  <si>
    <t>ед.котл.</t>
  </si>
  <si>
    <t>1.2  Население, проживающее в городских населенных пунктах, оборудованных в установленном порядке стационарными газовыми плитами, а также потребители городских населенных пунктов, приравненные к населению</t>
  </si>
  <si>
    <t>1.3  Население, проживающее в домах, оборудованных в установленном порядке стационарными электроплитами; население, проживающее в сельских населенных пунктах, а также потребители сельских населенных пунктов, приравненные к населению</t>
  </si>
  <si>
    <t>Примечание: * -  договор оказания услуг по передаче электрической энергии № 3 от 01.01.11г.;</t>
  </si>
  <si>
    <t xml:space="preserve">                       *** -  договор на покупку электроэнергии в целях компенсации потерь № 1001Э от 01.01.2010г.</t>
  </si>
  <si>
    <t>Генеральный директор ОАО "Самараэнерго"</t>
  </si>
  <si>
    <t>_________________________Сойфер  М.В.</t>
  </si>
  <si>
    <t>(дата, ФИО, подпись)</t>
  </si>
  <si>
    <t>М.П.</t>
  </si>
  <si>
    <t>чччи насел.</t>
  </si>
  <si>
    <t>уточнили июнь 2011г.по самараэнерго</t>
  </si>
  <si>
    <t>На бланке организации</t>
  </si>
  <si>
    <t>Приложение № 1 
 к анкете организации, 
осуществляющей деятельность 
в электроэнергетике 
Самарской области</t>
  </si>
  <si>
    <t>Перечень</t>
  </si>
  <si>
    <t>потребителей электрической энергии</t>
  </si>
  <si>
    <t>№ п/п</t>
  </si>
  <si>
    <r>
      <t xml:space="preserve">Наименование  
организации –  абонента,  
</t>
    </r>
    <r>
      <rPr>
        <sz val="12"/>
        <color indexed="10"/>
        <rFont val="Times New Roman CYR"/>
        <charset val="204"/>
      </rPr>
      <t>юридический адрес, телефон</t>
    </r>
  </si>
  <si>
    <r>
      <t xml:space="preserve">Объем электрической энергии               2012 г.
</t>
    </r>
    <r>
      <rPr>
        <b/>
        <sz val="11"/>
        <rFont val="Times New Roman Cyr"/>
        <charset val="204"/>
      </rPr>
      <t>(тыс. кВтч)</t>
    </r>
  </si>
  <si>
    <r>
      <t xml:space="preserve">Заявленная мощность, </t>
    </r>
    <r>
      <rPr>
        <b/>
        <sz val="11"/>
        <rFont val="Times New Roman Cyr"/>
        <charset val="204"/>
      </rPr>
      <t>МВт</t>
    </r>
  </si>
  <si>
    <t>Конечные потребители ОАО "Самараэнерго"</t>
  </si>
  <si>
    <t>РЖД, собственное потребление</t>
  </si>
  <si>
    <t xml:space="preserve">“Самарский метрополитен” </t>
  </si>
  <si>
    <t>ИТОГО собственное потребление сетевых организаций</t>
  </si>
  <si>
    <t>ИТОГО прочие потребители</t>
  </si>
  <si>
    <t>гр.Население</t>
  </si>
  <si>
    <t>ИТОГО гр.население</t>
  </si>
  <si>
    <t>Итого конечные потребители ОАО "Самараэнерго"</t>
  </si>
  <si>
    <t>Сетевые организации -транзит</t>
  </si>
  <si>
    <r>
      <t xml:space="preserve">Куйбышевская дирекция по энергообеспечению – структурное подразделение Трансэнерго - филиал ОАО "РЖД", </t>
    </r>
    <r>
      <rPr>
        <sz val="12"/>
        <color indexed="10"/>
        <rFont val="Times New Roman CYR"/>
        <charset val="204"/>
      </rPr>
      <t>107174, г. Москва, ул. Новая Басманная, д.2, тел. (846) 270-73-56,270-73-57,30-45-86 (дог.отд.), факс. (846) 270-73-56, 270-73-57</t>
    </r>
  </si>
  <si>
    <t>в т.ч. Транзит</t>
  </si>
  <si>
    <t>заявка 2012г.</t>
  </si>
  <si>
    <t>в т.ч. Собственное потребление</t>
  </si>
  <si>
    <t>РЖД собств.</t>
  </si>
  <si>
    <r>
      <t>ООО "Энерго", 443035,</t>
    </r>
    <r>
      <rPr>
        <sz val="12"/>
        <color indexed="10"/>
        <rFont val="Times New Roman CYR"/>
        <charset val="204"/>
      </rPr>
      <t xml:space="preserve"> г.Самара, ул. Минская, д.25, тел.269-13-71 </t>
    </r>
  </si>
  <si>
    <t>з.м.</t>
  </si>
  <si>
    <t>Энерго заявка на 13.04.2011</t>
  </si>
  <si>
    <r>
      <t xml:space="preserve">ЗАО "ССК", </t>
    </r>
    <r>
      <rPr>
        <sz val="12"/>
        <color indexed="10"/>
        <rFont val="Times New Roman CYR"/>
        <charset val="204"/>
      </rPr>
      <t>443546, Самарская обл., Волжский район, пос. Петра Дубрава, ул. Коммунаров, 3, тел./факс (846) 342-60-00</t>
    </r>
  </si>
  <si>
    <t xml:space="preserve">“Самарский метрополитен” (Муниципальное предприятие г.о. Самара), 443079, ул. Гагарина, 11-а
</t>
  </si>
  <si>
    <t>Итого ТРАНЗИТ</t>
  </si>
  <si>
    <t>ИТОГО ПЕРЕДАЧА ЭЛЕКТРИЧЕСКОЙ ЭНЕРГИИ</t>
  </si>
  <si>
    <t>Первый зам. генерального директора</t>
  </si>
  <si>
    <r>
      <t xml:space="preserve">                        ** -  договор энергоснабжения </t>
    </r>
    <r>
      <rPr>
        <b/>
        <sz val="11"/>
        <color indexed="10"/>
        <rFont val="Arial Cyr"/>
        <charset val="204"/>
      </rPr>
      <t>№ 0028Э от 01.02.2010 г.</t>
    </r>
  </si>
  <si>
    <t>**</t>
  </si>
  <si>
    <t>отпуск</t>
  </si>
  <si>
    <t>Энергонефть</t>
  </si>
  <si>
    <t>"Самарский метрополитен"   ______________________________________</t>
  </si>
  <si>
    <t xml:space="preserve">Цех 2426 </t>
  </si>
  <si>
    <t>Цех 2496 (подсобное хозяйство)</t>
  </si>
  <si>
    <t>ООО "Техкомплектсервис"</t>
  </si>
  <si>
    <t>04.02.10</t>
  </si>
  <si>
    <t>19.07.10</t>
  </si>
  <si>
    <t>08.02.10</t>
  </si>
  <si>
    <t>№ Тк0019</t>
  </si>
  <si>
    <t>26.02.10</t>
  </si>
  <si>
    <t>№ Тк0038</t>
  </si>
  <si>
    <t>01.03.10</t>
  </si>
  <si>
    <t>№ Тк0039</t>
  </si>
  <si>
    <t>18.03.10</t>
  </si>
  <si>
    <t>№ Тк0054</t>
  </si>
  <si>
    <t>№ Тк0055</t>
  </si>
  <si>
    <t>04.05.10</t>
  </si>
  <si>
    <t>№ Тк0100</t>
  </si>
  <si>
    <t>01.04.10</t>
  </si>
  <si>
    <t>№ Тк0069</t>
  </si>
  <si>
    <t>06.05.10</t>
  </si>
  <si>
    <t>№ Тк0104</t>
  </si>
  <si>
    <t>11.06.10</t>
  </si>
  <si>
    <t>№ Тк0157</t>
  </si>
  <si>
    <t>№ Тк0167</t>
  </si>
  <si>
    <t>№ Тк0168</t>
  </si>
  <si>
    <t>30.06.10</t>
  </si>
  <si>
    <t>№ Тк0177</t>
  </si>
  <si>
    <t>ООО "ЭТМ"</t>
  </si>
  <si>
    <t>№ 2.п09.41403</t>
  </si>
  <si>
    <t>№ Тк0181</t>
  </si>
  <si>
    <t>16.07.10</t>
  </si>
  <si>
    <t>№ Тк0196</t>
  </si>
  <si>
    <t>30.08.10</t>
  </si>
  <si>
    <t>№ Тк0241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</si>
  <si>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</si>
  <si>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</si>
  <si>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</si>
  <si>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</si>
  <si>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</si>
  <si>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</si>
  <si>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</si>
  <si>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</si>
  <si>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</si>
  <si>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</si>
  <si>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</si>
  <si>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10.09.10</t>
  </si>
  <si>
    <t>№ 2.п07.1336</t>
  </si>
  <si>
    <t>01.10.10</t>
  </si>
  <si>
    <t>№ Тк0267</t>
  </si>
  <si>
    <t>20.10.10</t>
  </si>
  <si>
    <t>№ Тк0292</t>
  </si>
  <si>
    <t>15.10.10</t>
  </si>
  <si>
    <t>№ Тк0285</t>
  </si>
  <si>
    <t>№ 00000309</t>
  </si>
  <si>
    <t>13.11.10</t>
  </si>
  <si>
    <t>03.11.10</t>
  </si>
  <si>
    <t>№ 00000322</t>
  </si>
  <si>
    <t>№ 00000323</t>
  </si>
  <si>
    <t>27.12.10</t>
  </si>
  <si>
    <t>№ Тк0014</t>
  </si>
  <si>
    <t>27.</t>
  </si>
  <si>
    <t>№ Тк0363</t>
  </si>
  <si>
    <t xml:space="preserve">По цеху 2426 </t>
  </si>
  <si>
    <t>По цеху 2496 ПСХ</t>
  </si>
  <si>
    <t>ПСХ</t>
  </si>
  <si>
    <t xml:space="preserve"> ЗАО ССК</t>
  </si>
  <si>
    <t>На передачу потребителям всего :</t>
  </si>
  <si>
    <t xml:space="preserve"> в т.ч.</t>
  </si>
  <si>
    <t>конечные потребители</t>
  </si>
  <si>
    <r>
      <t>Затраты на электротехнические материалы в расчет тарифа</t>
    </r>
    <r>
      <rPr>
        <b/>
        <sz val="12"/>
        <rFont val="Times New Roman"/>
        <family val="1"/>
        <charset val="204"/>
      </rPr>
      <t xml:space="preserve"> на 2011 г.</t>
    </r>
    <r>
      <rPr>
        <sz val="12"/>
        <rFont val="Times New Roman"/>
        <family val="1"/>
        <charset val="204"/>
      </rPr>
      <t xml:space="preserve"> по участку ПСХ на передачу сторонним </t>
    </r>
  </si>
  <si>
    <t>потребителям составят:</t>
  </si>
  <si>
    <t>с Кинд.к 2010г. 1,079 пропорционально полезному отпуску:</t>
  </si>
  <si>
    <r>
      <t xml:space="preserve">На </t>
    </r>
    <r>
      <rPr>
        <b/>
        <sz val="12"/>
        <rFont val="Times New Roman"/>
        <family val="1"/>
        <charset val="204"/>
      </rPr>
      <t xml:space="preserve">2012 г. </t>
    </r>
    <r>
      <rPr>
        <sz val="12"/>
        <rFont val="Times New Roman"/>
        <family val="1"/>
        <charset val="204"/>
      </rPr>
      <t>затраты по статье "вспомогательные материалы" по участку ПСХ проиндексированы на К</t>
    </r>
    <r>
      <rPr>
        <vertAlign val="subscript"/>
        <sz val="12"/>
        <rFont val="Times New Roman"/>
        <family val="1"/>
        <charset val="204"/>
      </rPr>
      <t xml:space="preserve">инд.к 2011г. </t>
    </r>
    <r>
      <rPr>
        <sz val="12"/>
        <rFont val="Times New Roman"/>
        <family val="1"/>
        <charset val="204"/>
      </rPr>
      <t>= 1,06</t>
    </r>
  </si>
  <si>
    <t>и составят = 87,9 х 1,06 =</t>
  </si>
  <si>
    <t xml:space="preserve">Итого затраты по статье "вспомогательные материалы" на передачу сторонним потребителям </t>
  </si>
  <si>
    <t>ФГУП «ГНПРКЦ «ЦСКБ-Прогресс» составляют:</t>
  </si>
  <si>
    <t>тыс.руб. без НДС</t>
  </si>
  <si>
    <r>
      <rPr>
        <b/>
        <sz val="12"/>
        <color indexed="9"/>
        <rFont val="Times New Roman"/>
        <family val="1"/>
        <charset val="204"/>
      </rPr>
      <t>2011 г.</t>
    </r>
    <r>
      <rPr>
        <sz val="12"/>
        <color indexed="9"/>
        <rFont val="Times New Roman"/>
        <family val="1"/>
        <charset val="204"/>
      </rPr>
      <t xml:space="preserve"> = 621,1 тыс.руб. + 87, 9 тыс.руб. =</t>
    </r>
  </si>
  <si>
    <t>без ПСХ</t>
  </si>
  <si>
    <t>стр-ра измен., сторонн.меньше- Энерго ум.</t>
  </si>
  <si>
    <t>03.02.2010</t>
  </si>
  <si>
    <t>12.02.2010</t>
  </si>
  <si>
    <t>15.03.2010</t>
  </si>
  <si>
    <t>19.02.2010</t>
  </si>
  <si>
    <t>01.04.2010</t>
  </si>
  <si>
    <t>30.03.2010</t>
  </si>
  <si>
    <t>06.05.2010</t>
  </si>
  <si>
    <t>15.04.2010</t>
  </si>
  <si>
    <t>25.05.2010</t>
  </si>
  <si>
    <t>12.05.2010</t>
  </si>
  <si>
    <t>15.06.2010</t>
  </si>
  <si>
    <t>24.06.2010</t>
  </si>
  <si>
    <t>21.06.2010</t>
  </si>
  <si>
    <t>29.06.2010</t>
  </si>
  <si>
    <t>09.08.2010.</t>
  </si>
  <si>
    <t>03.09.2010</t>
  </si>
  <si>
    <t>11.10.2010</t>
  </si>
  <si>
    <t>18.10.2010</t>
  </si>
  <si>
    <t>10.11.2010</t>
  </si>
  <si>
    <t>12.11.2010</t>
  </si>
  <si>
    <t>11.01.11</t>
  </si>
  <si>
    <t>№ Тк0001</t>
  </si>
  <si>
    <t>ООО "Торговый дом техноград"</t>
  </si>
  <si>
    <t>28.</t>
  </si>
  <si>
    <t>10.06.2011</t>
  </si>
  <si>
    <t>15.06.2011</t>
  </si>
  <si>
    <t>17.06.2011</t>
  </si>
  <si>
    <t>1 полугодие 2011 г.</t>
  </si>
  <si>
    <t>Реестр документов, подтверждающих поступление электротехнических материалов на обслуживание и ремонт оборудования участка электроснабжения потребителей ФГУП «ГНПРКЦ «ЦСКБ-Прогресс» за 1 полугодие 2011 г.</t>
  </si>
  <si>
    <t>24.06.2011</t>
  </si>
  <si>
    <t>25.03.2011</t>
  </si>
  <si>
    <t>31.05.2011</t>
  </si>
  <si>
    <r>
      <rPr>
        <b/>
        <sz val="12"/>
        <color indexed="9"/>
        <rFont val="Times New Roman"/>
        <family val="1"/>
        <charset val="204"/>
      </rPr>
      <t>2012 г.</t>
    </r>
    <r>
      <rPr>
        <sz val="12"/>
        <color indexed="9"/>
        <rFont val="Times New Roman"/>
        <family val="1"/>
        <charset val="204"/>
      </rPr>
      <t xml:space="preserve"> = 670,2 тыс.руб. + 93,2 тыс.руб. =</t>
    </r>
  </si>
  <si>
    <t>1. ПОЛЕЗНЫЙ ОТПУСК КОНЕЧНЫМ ПОТРЕБИТЕЛЯМ                                                                                                                               *договор оказания услуг по передаче электрической энергии № 3 от 01.01.11г.</t>
  </si>
  <si>
    <t>2. СОБСТВЕННОЕ ПОТРЕБЛЕНИЕ                                                                                                                                                                                                                                                    ** договор энергоснабжения № 0028Э от 01.02.2010 г.</t>
  </si>
  <si>
    <t>3. ТЕХНОЛОГИЧЕСКИЙ РАСХОД (ПОТЕРИ) ЭЛЕКТРИЧЕСКОЙ ЭНЕРГИИ (МОЩНОСТИ) ПРИ ПЕРЕДАЧЕ ПО ЭЛЕКТРИЧЕСКИМ СЕТЯМ                                                                                                                                                                                         ***договор на покупку электроэнергии в целях компенсации потерь № 1001Э от 01.01.2010г.</t>
  </si>
  <si>
    <t>Первый зам. генерального директора - главный инженер</t>
  </si>
  <si>
    <t xml:space="preserve">_______________________ Тюлевин С. В. </t>
  </si>
  <si>
    <t>ООО "Энергонефть Самара"</t>
  </si>
  <si>
    <t>Руководитель  ООО "Энергонефть Самара"   ____________________________________</t>
  </si>
  <si>
    <t>измен.доля на потребит -раб., амортиз, ОХР</t>
  </si>
  <si>
    <t xml:space="preserve">стало - </t>
  </si>
  <si>
    <t>ЭНЕРГО было -</t>
  </si>
  <si>
    <t>тыс.квтч</t>
  </si>
  <si>
    <t>21,37% было</t>
  </si>
  <si>
    <t>стало 20,55%</t>
  </si>
  <si>
    <t>2011г. с Кинд.на 2012г.=1,06</t>
  </si>
  <si>
    <t>сторонним потребителям - 16 чел.</t>
  </si>
  <si>
    <t>от ООО "Энергонефть Самара"</t>
  </si>
  <si>
    <t>Другие прочие расходы (ОХР)</t>
  </si>
  <si>
    <t>уточненные электротехнические материалы - с учетом участка ПСХ (п.7)</t>
  </si>
  <si>
    <t>432 350,04 /1,18 /1000 х 1,079 х22,23%=</t>
  </si>
  <si>
    <t xml:space="preserve">679 275,89 /1,18 /1000 х 1,079= </t>
  </si>
  <si>
    <t>Обучение (повышение квалификации по направлению «Электроэнергетика» , проведение предэкзаменационной подготовки электротехнического персонала )</t>
  </si>
  <si>
    <r>
      <t>Затраты на электротехнические материалы по участку ПСХ в расчет тарифов</t>
    </r>
    <r>
      <rPr>
        <b/>
        <sz val="12"/>
        <rFont val="Times New Roman"/>
        <family val="1"/>
        <charset val="204"/>
      </rPr>
      <t xml:space="preserve"> на 2011 г.</t>
    </r>
    <r>
      <rPr>
        <sz val="12"/>
        <rFont val="Times New Roman"/>
        <family val="1"/>
        <charset val="204"/>
      </rPr>
      <t xml:space="preserve"> взяты </t>
    </r>
  </si>
  <si>
    <r>
      <t>Затраты на электротехнические материалы в расчет тарифов</t>
    </r>
    <r>
      <rPr>
        <b/>
        <sz val="12"/>
        <rFont val="Times New Roman"/>
        <family val="1"/>
        <charset val="204"/>
      </rPr>
      <t xml:space="preserve"> на 2011 г.</t>
    </r>
    <r>
      <rPr>
        <sz val="12"/>
        <rFont val="Times New Roman"/>
        <family val="1"/>
        <charset val="204"/>
      </rPr>
      <t xml:space="preserve"> взяты с К</t>
    </r>
    <r>
      <rPr>
        <vertAlign val="subscript"/>
        <sz val="12"/>
        <rFont val="Times New Roman"/>
        <family val="1"/>
        <charset val="204"/>
      </rPr>
      <t xml:space="preserve">инд.к 2010г. </t>
    </r>
    <r>
      <rPr>
        <sz val="12"/>
        <rFont val="Times New Roman"/>
        <family val="1"/>
        <charset val="204"/>
      </rPr>
      <t>1,079  и составят:</t>
    </r>
  </si>
  <si>
    <t>Приложение № 2</t>
  </si>
  <si>
    <t>проверить % потерь на потребителя</t>
  </si>
  <si>
    <t>к Приказу  УГРКЭ Самарской области</t>
  </si>
  <si>
    <t>от 04.04.2005 № 10</t>
  </si>
  <si>
    <t>Структура полезного отпуска  электрической энергии ФГУП «ГНПРКЦ «ЦСКБ-Прогресс»</t>
  </si>
  <si>
    <t xml:space="preserve">  2011 г. (базовый период)</t>
  </si>
  <si>
    <t xml:space="preserve"> 2012 г. (период регулирования)</t>
  </si>
  <si>
    <t>План</t>
  </si>
  <si>
    <t>ВН (110 кВ и выше)</t>
  </si>
  <si>
    <t>СН I (35 кВ)</t>
  </si>
  <si>
    <t>СН II (20-1 кВ)</t>
  </si>
  <si>
    <t>НН (0,4 кВ и ниже)</t>
  </si>
  <si>
    <t>ВСЕГО</t>
  </si>
  <si>
    <t>СН I (35кВ)</t>
  </si>
  <si>
    <t>тыс. кВтч</t>
  </si>
  <si>
    <t>Поступление в сеть всего</t>
  </si>
  <si>
    <t xml:space="preserve">    от собственных источников</t>
  </si>
  <si>
    <t xml:space="preserve">     с ФОРЭМ</t>
  </si>
  <si>
    <t xml:space="preserve">     от ОАО "МРСК Волги"</t>
  </si>
  <si>
    <t>% 2011 г.</t>
  </si>
  <si>
    <t>% 2012 г.</t>
  </si>
  <si>
    <t xml:space="preserve">Расход электроэнергии на хозяйственные нужды </t>
  </si>
  <si>
    <t>Расчетные потери - всего</t>
  </si>
  <si>
    <t xml:space="preserve">     отнесенные на собственное производство (потребление)</t>
  </si>
  <si>
    <t xml:space="preserve">     отнесенные на транзит</t>
  </si>
  <si>
    <t xml:space="preserve">     отнесенные на полезный отпуск собственным потребителям</t>
  </si>
  <si>
    <t>Передача по транзиту (сальдо-переток)</t>
  </si>
  <si>
    <t>Полезный отпуск собственным потребителям - всего</t>
  </si>
  <si>
    <t xml:space="preserve">  Бюджетные потребители</t>
  </si>
  <si>
    <t xml:space="preserve">  Учреждения департамента социальной защиты</t>
  </si>
  <si>
    <t xml:space="preserve">  Население и приравненные к нему потребители - всего</t>
  </si>
  <si>
    <t>6.3.1.</t>
  </si>
  <si>
    <t xml:space="preserve">     Население городское</t>
  </si>
  <si>
    <t>6.3.2.</t>
  </si>
  <si>
    <t xml:space="preserve">     Население городское с электроплитами</t>
  </si>
  <si>
    <t>6.3.3.</t>
  </si>
  <si>
    <t xml:space="preserve">     Население сельское</t>
  </si>
  <si>
    <t>6.3.4.</t>
  </si>
  <si>
    <t xml:space="preserve">     Населенные пункты городские</t>
  </si>
  <si>
    <t>6.3.5.</t>
  </si>
  <si>
    <t xml:space="preserve">     Населенные пункты сельские</t>
  </si>
  <si>
    <t>6.3.6.</t>
  </si>
  <si>
    <t xml:space="preserve">     Садоводческие товарищества,ГСК, ЖСК,ДСК,религиозные организации городское</t>
  </si>
  <si>
    <t>6.3.7.</t>
  </si>
  <si>
    <t xml:space="preserve">     Садоводческие товарищества,ГСК, ЖСК,ДСК,религиозные организации сельское</t>
  </si>
  <si>
    <t>6.3.8.</t>
  </si>
  <si>
    <t xml:space="preserve">     Жилищные организации на технологические цели</t>
  </si>
  <si>
    <t>6.4.</t>
  </si>
  <si>
    <t xml:space="preserve">  Прочие потребители - всего</t>
  </si>
  <si>
    <t>6.4.1.</t>
  </si>
  <si>
    <t xml:space="preserve">     Промышленные потребители &gt; 750 кВА (двухставочный тариф)</t>
  </si>
  <si>
    <t>6.4.1.1.</t>
  </si>
  <si>
    <t xml:space="preserve">     Заявленная мощность для промышленных потребителей &gt; 750 кВА, МВт*</t>
  </si>
  <si>
    <t>6.4.2.</t>
  </si>
  <si>
    <t xml:space="preserve">     Промышленные потребители &lt; 750 кВА (одноставочный тариф)</t>
  </si>
  <si>
    <t>6.4.3.</t>
  </si>
  <si>
    <t xml:space="preserve">     Непромышленные потребители</t>
  </si>
  <si>
    <t>6.4.4.</t>
  </si>
  <si>
    <t xml:space="preserve">     Электрифицированный ж/д транспорт (электротяга)</t>
  </si>
  <si>
    <t>6.4.5.</t>
  </si>
  <si>
    <t xml:space="preserve">     Электрифицированный ж/д транспорт (кроме электротяги)</t>
  </si>
  <si>
    <t>6.4.6.</t>
  </si>
  <si>
    <t xml:space="preserve">     Электрифицированный городской транспорт (электротяга)</t>
  </si>
  <si>
    <t>6.4.7.</t>
  </si>
  <si>
    <t xml:space="preserve">     Электрифицированный городской транспорт, включая метро (кроме электротяги)</t>
  </si>
  <si>
    <t>6.4.8.</t>
  </si>
  <si>
    <t xml:space="preserve">     Сельскохозяйственные потребители</t>
  </si>
  <si>
    <t>6.4.9.</t>
  </si>
  <si>
    <t xml:space="preserve">     Другие ЭСО (ОПП) указать</t>
  </si>
  <si>
    <t>6.5.</t>
  </si>
  <si>
    <t xml:space="preserve">  Базовые потребители</t>
  </si>
  <si>
    <t>Харитонова ЛС.</t>
  </si>
  <si>
    <r>
      <t xml:space="preserve">           СН II несетевым организациям </t>
    </r>
    <r>
      <rPr>
        <sz val="11"/>
        <color indexed="10"/>
        <rFont val="Times New Roman"/>
        <family val="1"/>
        <charset val="204"/>
      </rPr>
      <t>(НАСЕЛЕНИЕ)</t>
    </r>
  </si>
  <si>
    <t xml:space="preserve">           НН несетевым организациям </t>
  </si>
  <si>
    <t xml:space="preserve">в т.ч. ВН несетевым организациям </t>
  </si>
  <si>
    <t>Платежи ОАО "Самараэнерго" в адрес ФГУП «ГНПРКЦ «ЦСКБ-Прогресс»</t>
  </si>
  <si>
    <t>Платежи ФГУП «ГНПРКЦ «ЦСКБ-Прогресс» в адрес:</t>
  </si>
  <si>
    <t>Платежи в адрес ФГУП «ГНПРКЦ «ЦСКБ-Прогресс» от смежных сетевых всего:</t>
  </si>
  <si>
    <t>ЗАО "ССК"</t>
  </si>
  <si>
    <t>ОАО "РЖД"</t>
  </si>
  <si>
    <t>МП г.о.Самара "Самарский  метрополитен"</t>
  </si>
  <si>
    <t>Потери в сетях ФГУП «ГНПРКЦ «ЦСКБ-Прогресс» на потребителя -</t>
  </si>
  <si>
    <t>по дог.должно получ.</t>
  </si>
  <si>
    <t>Единые (котловые) тарифы на услуги по передаче</t>
  </si>
  <si>
    <t xml:space="preserve">электрической энергии по сетям Самарской области </t>
  </si>
  <si>
    <t>Уровень напря- жения</t>
  </si>
  <si>
    <t>2-х ставочный</t>
  </si>
  <si>
    <t>одноставочный</t>
  </si>
  <si>
    <t>Индекс роста к пред.                 году</t>
  </si>
  <si>
    <r>
      <t>Т</t>
    </r>
    <r>
      <rPr>
        <b/>
        <vertAlign val="superscript"/>
        <sz val="10"/>
        <rFont val="Times New Roman"/>
        <family val="1"/>
        <charset val="204"/>
      </rPr>
      <t>СОД</t>
    </r>
  </si>
  <si>
    <r>
      <t>Т</t>
    </r>
    <r>
      <rPr>
        <b/>
        <vertAlign val="superscript"/>
        <sz val="10"/>
        <rFont val="Times New Roman"/>
        <family val="1"/>
        <charset val="204"/>
      </rPr>
      <t>ПОТ</t>
    </r>
  </si>
  <si>
    <t>час.</t>
  </si>
  <si>
    <t>на 2011г. изм. пр.27 от 28.04.11</t>
  </si>
  <si>
    <t>с 01.01.2011</t>
  </si>
  <si>
    <t>2011 г. к 2009 г. (за два года)</t>
  </si>
  <si>
    <t>двухстав.</t>
  </si>
  <si>
    <t>одностав.</t>
  </si>
  <si>
    <t>содерж.</t>
  </si>
  <si>
    <t>опл.пот.</t>
  </si>
  <si>
    <t>2013 г.</t>
  </si>
  <si>
    <t>2014 г.</t>
  </si>
  <si>
    <t>2015 г.</t>
  </si>
  <si>
    <r>
      <t xml:space="preserve"> Расчет по договорам оказания услуг по передаче электрической энергии  </t>
    </r>
    <r>
      <rPr>
        <b/>
        <sz val="12"/>
        <color indexed="10"/>
        <rFont val="Times New Roman"/>
        <family val="1"/>
        <charset val="204"/>
      </rPr>
      <t>на 2012 г.</t>
    </r>
  </si>
  <si>
    <r>
      <t xml:space="preserve">Объемы организ.по стр-ре от 29.04.11г. </t>
    </r>
    <r>
      <rPr>
        <b/>
        <sz val="10"/>
        <color indexed="10"/>
        <rFont val="Calibri"/>
        <family val="2"/>
        <charset val="204"/>
      </rPr>
      <t>≈ факт.2010г.</t>
    </r>
  </si>
  <si>
    <t>др.стр-ра</t>
  </si>
  <si>
    <t>Объемы организ.по стр-ре Самараэнерго</t>
  </si>
  <si>
    <t>ЗАО "ССК" (п.77)</t>
  </si>
  <si>
    <t>ОАО "РЖД" (п.78)</t>
  </si>
  <si>
    <t>ООО "Энерго" (п.48)</t>
  </si>
  <si>
    <t>МП г.о.Самара "Самарский  метрополитен" (п.123)</t>
  </si>
  <si>
    <t>ОАО "МРСК Волги" (п.162)</t>
  </si>
  <si>
    <t>ООО "Энергонефть Самара"  ????</t>
  </si>
  <si>
    <t>по 2- став.</t>
  </si>
  <si>
    <t>по одностав. 2012 г.</t>
  </si>
  <si>
    <t>1 полугодие 2012 г.</t>
  </si>
  <si>
    <t>при работе по 2-х став.тарифу с ОАО "МРСК Волги"</t>
  </si>
  <si>
    <t>платит Самараэнерго по одноставочным</t>
  </si>
  <si>
    <t>ччим</t>
  </si>
  <si>
    <t>2 полугодие 2012 г.</t>
  </si>
  <si>
    <r>
      <t>МП г.о.Самара "Самарский  метрополитен"</t>
    </r>
    <r>
      <rPr>
        <b/>
        <i/>
        <sz val="12"/>
        <color indexed="10"/>
        <rFont val="Times New Roman"/>
        <family val="1"/>
        <charset val="204"/>
      </rPr>
      <t xml:space="preserve"> (п.57)</t>
    </r>
  </si>
  <si>
    <r>
      <t xml:space="preserve">ЗАО "ССК" </t>
    </r>
    <r>
      <rPr>
        <b/>
        <i/>
        <sz val="12"/>
        <color indexed="10"/>
        <rFont val="Times New Roman"/>
        <family val="1"/>
        <charset val="204"/>
      </rPr>
      <t>(п.179)</t>
    </r>
  </si>
  <si>
    <r>
      <t>ОАО "РЖД"</t>
    </r>
    <r>
      <rPr>
        <b/>
        <i/>
        <sz val="12"/>
        <color indexed="10"/>
        <rFont val="Times New Roman"/>
        <family val="1"/>
        <charset val="204"/>
      </rPr>
      <t xml:space="preserve"> (п.180)</t>
    </r>
  </si>
  <si>
    <r>
      <t>ООО "Энерго"</t>
    </r>
    <r>
      <rPr>
        <b/>
        <i/>
        <sz val="12"/>
        <color indexed="10"/>
        <rFont val="Times New Roman"/>
        <family val="1"/>
        <charset val="204"/>
      </rPr>
      <t xml:space="preserve"> (п.140)</t>
    </r>
  </si>
  <si>
    <r>
      <t xml:space="preserve">ООО "Энергонефть Самара" </t>
    </r>
    <r>
      <rPr>
        <b/>
        <i/>
        <sz val="12"/>
        <color indexed="10"/>
        <rFont val="Times New Roman"/>
        <family val="1"/>
        <charset val="204"/>
      </rPr>
      <t>(п.182)</t>
    </r>
  </si>
  <si>
    <r>
      <t xml:space="preserve">ОАО "МРСК Волги" </t>
    </r>
    <r>
      <rPr>
        <b/>
        <i/>
        <sz val="12"/>
        <color indexed="10"/>
        <rFont val="Times New Roman"/>
        <family val="1"/>
        <charset val="204"/>
      </rPr>
      <t>(п.181</t>
    </r>
    <r>
      <rPr>
        <sz val="12"/>
        <rFont val="Times New Roman"/>
        <family val="1"/>
        <charset val="204"/>
      </rPr>
      <t>)</t>
    </r>
  </si>
  <si>
    <r>
      <t xml:space="preserve"> Расчет по договорам оказания услуг по передаче электрической энергии  </t>
    </r>
    <r>
      <rPr>
        <b/>
        <sz val="12"/>
        <color indexed="10"/>
        <rFont val="Times New Roman"/>
        <family val="1"/>
        <charset val="204"/>
      </rPr>
      <t>на 1 полугодие 2012 г.</t>
    </r>
  </si>
  <si>
    <r>
      <t xml:space="preserve">Платежи за 1 полугодие, </t>
    </r>
    <r>
      <rPr>
        <b/>
        <sz val="11"/>
        <rFont val="Times New Roman"/>
        <family val="1"/>
        <charset val="204"/>
      </rPr>
      <t>тыс.руб.</t>
    </r>
  </si>
  <si>
    <r>
      <t xml:space="preserve">Платежи за 2 полугодие, </t>
    </r>
    <r>
      <rPr>
        <b/>
        <sz val="11"/>
        <rFont val="Times New Roman"/>
        <family val="1"/>
        <charset val="204"/>
      </rPr>
      <t>тыс.руб.</t>
    </r>
  </si>
  <si>
    <r>
      <t xml:space="preserve"> Расчет по договорам оказания услуг по передаче электрической энергии  </t>
    </r>
    <r>
      <rPr>
        <b/>
        <sz val="12"/>
        <color indexed="10"/>
        <rFont val="Times New Roman"/>
        <family val="1"/>
        <charset val="204"/>
      </rPr>
      <t>на 2 полугодие 2012 г.</t>
    </r>
  </si>
  <si>
    <t>год</t>
  </si>
  <si>
    <t>если объемы увелич. - выбрать 2-х став.тариф с МРСК</t>
  </si>
  <si>
    <t xml:space="preserve">2011 год НВВ </t>
  </si>
  <si>
    <t xml:space="preserve">2012 год НВВ </t>
  </si>
  <si>
    <t>по 2-х став.</t>
  </si>
  <si>
    <t xml:space="preserve"> за объем 9 420,0</t>
  </si>
  <si>
    <t xml:space="preserve"> за объем 20 123,0</t>
  </si>
  <si>
    <t>тыс.кВтч</t>
  </si>
  <si>
    <t>отклон.</t>
  </si>
  <si>
    <t xml:space="preserve">В случае увеличения объема передачи эл.энергии в сети Энерго </t>
  </si>
  <si>
    <t>1. с Энерго выгоднее работать по одностав.тарифу</t>
  </si>
  <si>
    <t>2. с МРСК выгоднее работать по 2-х ставочн.тарифу</t>
  </si>
  <si>
    <t xml:space="preserve"> за объем 22 751,776</t>
  </si>
  <si>
    <t>Выручка ЦСКБ =</t>
  </si>
  <si>
    <t>платежи Энерго в адрес ЦСКБ Прогресс тыс.руб.</t>
  </si>
  <si>
    <t>платежи ЦСКБ Прогресс в адрес МРСК тыс.руб.</t>
  </si>
  <si>
    <t>часов в 1 полугодии</t>
  </si>
  <si>
    <t>часов во 2 полугодии</t>
  </si>
  <si>
    <r>
      <t xml:space="preserve">Платежи за 2012 год, </t>
    </r>
    <r>
      <rPr>
        <b/>
        <sz val="11"/>
        <rFont val="Times New Roman"/>
        <family val="1"/>
        <charset val="204"/>
      </rPr>
      <t>тыс.руб.</t>
    </r>
  </si>
  <si>
    <t>по 2- ставочному</t>
  </si>
  <si>
    <t xml:space="preserve">при работе с сетевыми по одностав.тарифу </t>
  </si>
  <si>
    <t xml:space="preserve"> за объем 33 419,04</t>
  </si>
  <si>
    <t>Расчёт коэффициента индексации</t>
  </si>
  <si>
    <t>2011 год утвержденный</t>
  </si>
  <si>
    <t>2012 год утвержденный</t>
  </si>
  <si>
    <t>2011 год                     факт.</t>
  </si>
  <si>
    <t>2012 г. факт.</t>
  </si>
  <si>
    <t>2014 год предложения по корректировке</t>
  </si>
  <si>
    <t>Инфляция</t>
  </si>
  <si>
    <r>
      <t xml:space="preserve">Индекс эффективности </t>
    </r>
    <r>
      <rPr>
        <sz val="11"/>
        <color indexed="10"/>
        <rFont val="Arial"/>
        <family val="2"/>
        <charset val="204"/>
      </rPr>
      <t xml:space="preserve">подконтрольных </t>
    </r>
    <r>
      <rPr>
        <sz val="11"/>
        <color indexed="8"/>
        <rFont val="Arial"/>
        <family val="2"/>
        <charset val="204"/>
      </rPr>
      <t>расходов</t>
    </r>
  </si>
  <si>
    <t>1.3</t>
  </si>
  <si>
    <t>Количество активов</t>
  </si>
  <si>
    <t>1.4</t>
  </si>
  <si>
    <t>Индекс изменения количества активов</t>
  </si>
  <si>
    <t>1.5</t>
  </si>
  <si>
    <t>Коэффициент эластичности затрат по росту активов</t>
  </si>
  <si>
    <t>1.6</t>
  </si>
  <si>
    <t>Итого коэффициент индексации</t>
  </si>
  <si>
    <t>1.7</t>
  </si>
  <si>
    <r>
      <t>Максимальный процент корректировки НВВ с учетом достижения установленного уровня надежности и качества услуг (П</t>
    </r>
    <r>
      <rPr>
        <vertAlign val="subscript"/>
        <sz val="14"/>
        <color indexed="8"/>
        <rFont val="Arial"/>
        <family val="2"/>
        <charset val="204"/>
      </rPr>
      <t>кор</t>
    </r>
    <r>
      <rPr>
        <sz val="11"/>
        <color indexed="8"/>
        <rFont val="Arial"/>
        <family val="2"/>
        <charset val="204"/>
      </rPr>
      <t>)</t>
    </r>
  </si>
  <si>
    <t>1.8</t>
  </si>
  <si>
    <r>
      <t>Плановый показатель средней продолжительности прекращений передачи электрической энергии (П</t>
    </r>
    <r>
      <rPr>
        <vertAlign val="subscript"/>
        <sz val="14"/>
        <color indexed="8"/>
        <rFont val="Arial"/>
        <family val="2"/>
        <charset val="204"/>
      </rPr>
      <t>п</t>
    </r>
    <r>
      <rPr>
        <sz val="11"/>
        <color indexed="8"/>
        <rFont val="Arial"/>
        <family val="2"/>
        <charset val="204"/>
      </rPr>
      <t>)</t>
    </r>
  </si>
  <si>
    <t>1.9</t>
  </si>
  <si>
    <t>Плановый показатель уровня качества оказываемых услуг ТСО (Птсо)</t>
  </si>
  <si>
    <t>2.0</t>
  </si>
  <si>
    <r>
      <t>Обобщенный показатель надежности и качества оказываемых услуг (К</t>
    </r>
    <r>
      <rPr>
        <vertAlign val="subscript"/>
        <sz val="14"/>
        <color indexed="8"/>
        <rFont val="Arial"/>
        <family val="2"/>
        <charset val="204"/>
      </rPr>
      <t>об</t>
    </r>
    <r>
      <rPr>
        <sz val="11"/>
        <color indexed="8"/>
        <rFont val="Arial"/>
        <family val="2"/>
        <charset val="204"/>
      </rPr>
      <t>)</t>
    </r>
  </si>
  <si>
    <t>Расчёт подконтрольных расходов</t>
  </si>
  <si>
    <t>2013 год утвержденный</t>
  </si>
  <si>
    <t>1..1.2.</t>
  </si>
  <si>
    <t>1.3.1.</t>
  </si>
  <si>
    <t>1.3.2.</t>
  </si>
  <si>
    <t>1.3.2.1.</t>
  </si>
  <si>
    <t>1.3.2.2.</t>
  </si>
  <si>
    <t>1.3.2.3.</t>
  </si>
  <si>
    <t>1.3.2.4.</t>
  </si>
  <si>
    <t>1.3.2.5.</t>
  </si>
  <si>
    <t>1.3.2.6.</t>
  </si>
  <si>
    <t>1.3.3.</t>
  </si>
  <si>
    <t>1.3.4.</t>
  </si>
  <si>
    <t>1.3.5.</t>
  </si>
  <si>
    <t>1.3.6.</t>
  </si>
  <si>
    <t>1.3.7.</t>
  </si>
  <si>
    <t>Другие прочие расходы</t>
  </si>
  <si>
    <t>1.4.3.</t>
  </si>
  <si>
    <t>ИТОГО подконтрольные расходы</t>
  </si>
  <si>
    <t>Расчёт неподконтрольных расходов</t>
  </si>
  <si>
    <t>2.5.1.</t>
  </si>
  <si>
    <t>2.5.2.</t>
  </si>
  <si>
    <t>2.5.3.</t>
  </si>
  <si>
    <t>Прибыль на капитальные вложения</t>
  </si>
  <si>
    <t>ИТОГО неподконтрольные расходы</t>
  </si>
  <si>
    <t>Корректировка НВВ на содержание с учетом достижения плановых показателей уровня надежности и качества оказываемых услуг</t>
  </si>
  <si>
    <r>
      <t xml:space="preserve">Корректировка НВВ на содержание с учетом достижения плановых показателей уровня надежности и качества оказываемых услуг (НВВ </t>
    </r>
    <r>
      <rPr>
        <vertAlign val="superscript"/>
        <sz val="14"/>
        <color indexed="10"/>
        <rFont val="Arial Cyr"/>
        <charset val="204"/>
      </rPr>
      <t>сод.</t>
    </r>
    <r>
      <rPr>
        <vertAlign val="subscript"/>
        <sz val="14"/>
        <color indexed="10"/>
        <rFont val="Arial Cyr"/>
        <charset val="204"/>
      </rPr>
      <t xml:space="preserve">i-2 </t>
    </r>
    <r>
      <rPr>
        <sz val="11"/>
        <color indexed="10"/>
        <rFont val="Arial Cyr"/>
        <charset val="204"/>
      </rPr>
      <t>х К</t>
    </r>
    <r>
      <rPr>
        <vertAlign val="subscript"/>
        <sz val="14"/>
        <color indexed="10"/>
        <rFont val="Arial Cyr"/>
        <charset val="204"/>
      </rPr>
      <t xml:space="preserve">об </t>
    </r>
    <r>
      <rPr>
        <sz val="11"/>
        <color indexed="10"/>
        <rFont val="Arial Cyr"/>
        <charset val="204"/>
      </rPr>
      <t>х П</t>
    </r>
    <r>
      <rPr>
        <vertAlign val="subscript"/>
        <sz val="11"/>
        <color indexed="10"/>
        <rFont val="Arial Cyr"/>
        <charset val="204"/>
      </rPr>
      <t>кор</t>
    </r>
    <r>
      <rPr>
        <sz val="11"/>
        <color indexed="10"/>
        <rFont val="Arial Cyr"/>
        <charset val="204"/>
      </rPr>
      <t>)</t>
    </r>
  </si>
  <si>
    <t>ИТОГО НВВ на содержание сетей</t>
  </si>
  <si>
    <r>
      <t xml:space="preserve">НВВ сетевой организации ВСЕГО </t>
    </r>
    <r>
      <rPr>
        <sz val="11"/>
        <rFont val="Arial"/>
        <family val="2"/>
        <charset val="204"/>
      </rPr>
      <t xml:space="preserve">(без учета расходов на оплату услуг территориальных сетевых организаций, расходов на оплату потерь электроэнергии) </t>
    </r>
  </si>
  <si>
    <r>
      <t>по договорам 2012 г.</t>
    </r>
    <r>
      <rPr>
        <b/>
        <sz val="10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(Самараэнерго - одноставочный)</t>
    </r>
  </si>
  <si>
    <t>1 полугодие 2013 г.</t>
  </si>
  <si>
    <t>2 полугодие 2013 г.</t>
  </si>
  <si>
    <t xml:space="preserve">Предложения по корректировке необходимой валовой выручки ФГУП «ГНПРКЦ «ЦСКБ-Прогресс» на 2014 г. </t>
  </si>
  <si>
    <t>2014 год утвержденный в 2011г.</t>
  </si>
  <si>
    <t>Предложения организации 2012 год</t>
  </si>
  <si>
    <t>2012 год предложения организации</t>
  </si>
  <si>
    <t>Утверждено на 2012г.</t>
  </si>
  <si>
    <t>предварительно на сайте</t>
  </si>
  <si>
    <r>
      <t>Страховые взносы в ПФ РФ, ФСС РФ, ФФ  ОМС и ТФ ОМС и ОС_НС (2012г.-</t>
    </r>
    <r>
      <rPr>
        <b/>
        <sz val="11"/>
        <color indexed="10"/>
        <rFont val="Arial"/>
        <family val="2"/>
        <charset val="204"/>
      </rPr>
      <t xml:space="preserve"> 1,7%, 2013 г.-1,65%</t>
    </r>
    <r>
      <rPr>
        <b/>
        <sz val="11"/>
        <rFont val="Arial"/>
        <family val="2"/>
        <charset val="204"/>
      </rPr>
      <t>)</t>
    </r>
  </si>
  <si>
    <t>Форма  № 5</t>
  </si>
  <si>
    <t>к приложению № 1 приказа Министерства энергетики и жилищно-коммунального хозяйства Самарской области от "___" _________2011 года № ___</t>
  </si>
  <si>
    <t>ФГУП ГНПРКЦ «ЦСКБ-Прогресс»</t>
  </si>
  <si>
    <t>Сроки предоставления: ежеквартальная - до 30 апреля, 30 июля и 30 октября. Годовая - до 1 апреля.</t>
  </si>
  <si>
    <t>форма заполняется нарастающим итогом</t>
  </si>
  <si>
    <t>Фактические показатели</t>
  </si>
  <si>
    <t>7 = 6/4</t>
  </si>
  <si>
    <t>1.1.2.1.</t>
  </si>
  <si>
    <t>численность персонала</t>
  </si>
  <si>
    <t>1.1.2.2.</t>
  </si>
  <si>
    <t>среднемесячная  заработная плата</t>
  </si>
  <si>
    <t>Налоги, всего, в том числе:</t>
  </si>
  <si>
    <t>Затраты на компенсацию потерь электрической энергии</t>
  </si>
  <si>
    <t>Платежи  компании  в адрес смежных сетевых организаций:</t>
  </si>
  <si>
    <t>…..</t>
  </si>
  <si>
    <t xml:space="preserve">Платежи в компанию от смежных организаций </t>
  </si>
  <si>
    <t>М.п. городского округа Самара "Самарский метрополитен"</t>
  </si>
  <si>
    <t>….</t>
  </si>
  <si>
    <t>Платежи в сетевую организацию по котловым тарифам</t>
  </si>
  <si>
    <t>Количество условных единиц электрооборудования, необходимых для осуществления регулируемой деятельности.</t>
  </si>
  <si>
    <t>Протяженность электрических сетей</t>
  </si>
  <si>
    <t>км.</t>
  </si>
  <si>
    <t>7.1.</t>
  </si>
  <si>
    <t>в том числе нуждающихся в замене</t>
  </si>
  <si>
    <t>Количество аварий и повреждений на сетях</t>
  </si>
  <si>
    <t>ед.</t>
  </si>
  <si>
    <t>Количество аварий и повреждений на сооружениях</t>
  </si>
  <si>
    <t>Износ сетей</t>
  </si>
  <si>
    <t>Износ оборудования</t>
  </si>
  <si>
    <t>тыс. кВт*ч</t>
  </si>
  <si>
    <t>Расход электроэнергии на хозяйственные нужды, всего</t>
  </si>
  <si>
    <t>Потери электрической энергии, всего</t>
  </si>
  <si>
    <t>отнесенные на собственное производство (потребление)</t>
  </si>
  <si>
    <t>14.2.</t>
  </si>
  <si>
    <t>технологические потери</t>
  </si>
  <si>
    <t>Полезный отпуск конечным потербителям</t>
  </si>
  <si>
    <t>Руководитель организации           _______________________</t>
  </si>
  <si>
    <t>__________________</t>
  </si>
  <si>
    <t xml:space="preserve">                   (подпись)</t>
  </si>
  <si>
    <t>(расшифровка подписи)</t>
  </si>
  <si>
    <t>Должностное лицо, ответственное за составление формы</t>
  </si>
  <si>
    <t>____________________________________________________</t>
  </si>
  <si>
    <t>______________</t>
  </si>
  <si>
    <t>(должность)</t>
  </si>
  <si>
    <t>(подпись)</t>
  </si>
  <si>
    <t>"______" _________________ 20___ год</t>
  </si>
  <si>
    <t xml:space="preserve">             (дата составления документа)</t>
  </si>
  <si>
    <t>Выпадающие доходы/экономия средств (вспомогательные материалы для выполнения ремонтов собственными силами)</t>
  </si>
  <si>
    <t>Отчет о доходах и расходах территориальной сетевой организации, регулирование тарифов на услуги которой осуществляется на основе долгосрочных параметров регулирования деятельности за  2012 год</t>
  </si>
  <si>
    <r>
      <t>Процент превышения</t>
    </r>
    <r>
      <rPr>
        <sz val="10"/>
        <rFont val="Times New Roman"/>
        <family val="1"/>
        <charset val="204"/>
      </rPr>
      <t xml:space="preserve"> (2012факт. без учета собственного потребления)/ (утверждено на 2012г.)</t>
    </r>
  </si>
  <si>
    <r>
      <t xml:space="preserve">НВВ сетевой организации ВСЕГО </t>
    </r>
    <r>
      <rPr>
        <sz val="10"/>
        <rFont val="Times New Roman"/>
        <family val="1"/>
        <charset val="204"/>
      </rPr>
      <t xml:space="preserve">(без учета расходов на оплату услуг территориальных сетевых организаций, расходов на оплату потерь электроэнергии) </t>
    </r>
  </si>
  <si>
    <t>с учетом собственного потребления</t>
  </si>
  <si>
    <t>без учета собственного потребления</t>
  </si>
  <si>
    <t>Выпадающие доходы (экономия средств) за исключением выпадающих доходов, учтенных в соответствии с п.87 Основ ценообразования</t>
  </si>
  <si>
    <t xml:space="preserve">Выпадающие доходы по п.87 Основ ценообразования </t>
  </si>
  <si>
    <t>1.5.</t>
  </si>
  <si>
    <t>2019 год</t>
  </si>
  <si>
    <t>ОАО "ФСК ЕЭС"</t>
  </si>
  <si>
    <t>технологический расход электроэнергии на транспортировку</t>
  </si>
  <si>
    <t>на содержание сетей</t>
  </si>
  <si>
    <t>Сумма платы за услуги</t>
  </si>
  <si>
    <t>плановый объем отпуска  220 кВ и ниже</t>
  </si>
  <si>
    <t>норматив потерь</t>
  </si>
  <si>
    <t>объем потерь</t>
  </si>
  <si>
    <t>тариф на оплату</t>
  </si>
  <si>
    <t>заявленная мощность</t>
  </si>
  <si>
    <t>МВтч</t>
  </si>
  <si>
    <t>руб./Мвтч</t>
  </si>
  <si>
    <t>руб./Мвт</t>
  </si>
  <si>
    <t xml:space="preserve">Базовый период         </t>
  </si>
  <si>
    <t>за услуги по организации функционирования и развитию ЕЭС России,</t>
  </si>
  <si>
    <t>1 полугодие 2015 г.</t>
  </si>
  <si>
    <t>2 полугодие 2015 г.</t>
  </si>
  <si>
    <t>2014г. от бюджетного отдела</t>
  </si>
  <si>
    <t>с июля 2015 г.</t>
  </si>
  <si>
    <t xml:space="preserve">Счета на оплату от 20.05.2013 г., от 24.06.2013 г.,от 15.11.2013 г. </t>
  </si>
  <si>
    <t>тариф был пересмотрен</t>
  </si>
  <si>
    <t>протокол разногласий 5,05 МВт</t>
  </si>
  <si>
    <t>17,604 МВт</t>
  </si>
  <si>
    <t>в дог.ФСК</t>
  </si>
  <si>
    <t>2 п-е 2014г. был</t>
  </si>
  <si>
    <t>ОАО "РКЦ "Прогресс"</t>
  </si>
  <si>
    <t>в договоре ФСК</t>
  </si>
  <si>
    <t>не хватает</t>
  </si>
  <si>
    <t>д.заплатить  по тарифам с МРСК на пл.объем 2014 г.</t>
  </si>
  <si>
    <t>Расчет выпадающих по независящим причинам доходов от оказания услуг по передаче электрической энергии</t>
  </si>
  <si>
    <t>доход</t>
  </si>
  <si>
    <t>расход</t>
  </si>
  <si>
    <t>Д.Б.</t>
  </si>
  <si>
    <t>Сумма,                                                                     тыс.руб. (без НДС)</t>
  </si>
  <si>
    <t>по ф.5 2013г.</t>
  </si>
  <si>
    <t>только авг-сент.</t>
  </si>
  <si>
    <t>нет</t>
  </si>
  <si>
    <t>утв.потери 2013г.</t>
  </si>
  <si>
    <t>ООО "Энергобытобслуживание"</t>
  </si>
  <si>
    <t>ЛОЦ</t>
  </si>
  <si>
    <t>на передачу сторонним потребителям (пром.площадка + ПСХ + ЛОЦ "Космос")</t>
  </si>
  <si>
    <t>по предлож.ФСК на 2015г.</t>
  </si>
  <si>
    <t>рост с июля</t>
  </si>
  <si>
    <t>исправить</t>
  </si>
  <si>
    <t>АО "РКЦ "Прогресс"</t>
  </si>
  <si>
    <t>1 полугодие 2016 г.</t>
  </si>
  <si>
    <t>Итого 2016 г.</t>
  </si>
  <si>
    <t>2 полугодие 2016 г.</t>
  </si>
  <si>
    <t>Итого 2015 г.</t>
  </si>
  <si>
    <t xml:space="preserve"> +</t>
  </si>
  <si>
    <t>2015 год утв.</t>
  </si>
  <si>
    <t>утв.2015</t>
  </si>
  <si>
    <t>Расчет суммы платы АО "РКЦ "Прогресс"</t>
  </si>
  <si>
    <t>6266,23 утверд.МЭ 2016</t>
  </si>
  <si>
    <t>ПАО "МРСК Волги"</t>
  </si>
  <si>
    <t xml:space="preserve">сетевой организации АО «РКЦ «Прогресс» за 2015 г., </t>
  </si>
  <si>
    <t>Покупка потерь на потребителя в ОАО "Самараэнерго" за 2015 г.</t>
  </si>
  <si>
    <t xml:space="preserve">Доход АО "РКЦ "Прогресс" от ОАО "Самараэнерго" за услуги по передаче за 2015 г. (по котловым тарифам) - </t>
  </si>
  <si>
    <t>подлежащих включению в НВВ на передачу электрической энергии в 2017 г.</t>
  </si>
  <si>
    <t xml:space="preserve">Платежи АО "РКЦ "Прогресс" в адрес ОАО "РЖД" КДЭ СП Трансэнерго за услуги по передаче эл.энергии за 2015 г.- </t>
  </si>
  <si>
    <t xml:space="preserve">Платежи АО "РКЦ "Прогресс" в адрес ОАО "МРСК Волги" за услуги по передаче эл.энергии за 2015 г.- </t>
  </si>
  <si>
    <t xml:space="preserve">Платежи АО "РКЦ "Прогресс" в адрес ЗАО "ССК"(подсобное хозяйство Борское) за услуги по передаче эл.энергии за 2015 г.- </t>
  </si>
  <si>
    <t xml:space="preserve">Платежи АО "РКЦ "Прогресс" в адрес ЗАО "ССК"(промплощадка) за услуги по передаче эл.энергии за 2015 г.- </t>
  </si>
  <si>
    <t xml:space="preserve">Платежи АО "РКЦ "Прогресс" в адрес АО "Самаранефтегаз" за услуги по передаче эл.энергии за 2015 г.- </t>
  </si>
  <si>
    <t>в т.ч. Оплата услуг ПАО "ФСК ЕЭС"</t>
  </si>
  <si>
    <t>Утвержденная НВВ АО "РКЦ "Прогресс" (с учетом оплаты услуг ПАО "ФСК ЕЭС" и без уч.оплаты потерь на потребителя) на 2015 г. -</t>
  </si>
  <si>
    <t xml:space="preserve"> в т.ч. Утвержденная НВВ АО "РКЦ "Прогресс" на 2015 г. (без оплаты услуг ПАО "ФСК ЕЭС" и оплаты потерь) - </t>
  </si>
  <si>
    <t>Утвержденнная выручка АО "РКЦ "Прогресс" на 2015 год</t>
  </si>
  <si>
    <t>Фактическая выручка АО "РКЦ "Прогресс" за 2015 год</t>
  </si>
  <si>
    <t>Платежи АО "РКЦ "Прогресс"</t>
  </si>
  <si>
    <t xml:space="preserve">в т.ч. Доход АО "РКЦ "Прогресс" от МП г.о.Самара "Самарский метрополитен" за услуги по передаче за 2015 г.- </t>
  </si>
  <si>
    <t xml:space="preserve">в т.ч. Доход АО "РКЦ "Прогресс" от ЗАО "СГЭС" за услуги по передаче эл.энергии за 2015 г.- </t>
  </si>
  <si>
    <t>Оплата услуг  ПАО "ФСК ЕЭС"</t>
  </si>
  <si>
    <t>Доход АО "РКЦ "Прогресс" всего</t>
  </si>
  <si>
    <t>3.4.</t>
  </si>
  <si>
    <t>3.5.</t>
  </si>
  <si>
    <t>3.6.</t>
  </si>
  <si>
    <t>3.7.</t>
  </si>
  <si>
    <t>Выпадающие доходы (убытки) АО "РКЦ "Прогресс" от осуществления деятельности по передаче электрической энергии за 2015г.</t>
  </si>
  <si>
    <t>Фактическая выручка АО "РКЦ "Прогресс" на осуществления деятельности по передаче электрической энергии за 2015г.(на содержание сетей)</t>
  </si>
  <si>
    <r>
      <t xml:space="preserve">В связи со сложившейся ситуацией в 2015 г., прошу учесть </t>
    </r>
    <r>
      <rPr>
        <b/>
        <sz val="10"/>
        <rFont val="Arial CYR"/>
        <charset val="204"/>
      </rPr>
      <t>выпадающие доходы</t>
    </r>
    <r>
      <rPr>
        <sz val="10"/>
        <rFont val="Arial CYR"/>
        <charset val="204"/>
      </rPr>
      <t xml:space="preserve">  (убытки) АО "РКЦ "Прогресс" от осуществления деятельности по передаче электрической энергии</t>
    </r>
    <r>
      <rPr>
        <b/>
        <sz val="10"/>
        <rFont val="Arial CYR"/>
        <charset val="204"/>
      </rPr>
      <t xml:space="preserve"> за 2015 г.</t>
    </r>
  </si>
  <si>
    <t>16584,20-16040,47 = +543,73 тыс.руб.</t>
  </si>
  <si>
    <t>2854,92 - 543,73 = +2311,19 тыс.руб.</t>
  </si>
  <si>
    <t>от   ПАО "ФСК ЕЭС"</t>
  </si>
  <si>
    <t>от АО "Самаранефтегаз"</t>
  </si>
  <si>
    <r>
      <t>в размере -</t>
    </r>
    <r>
      <rPr>
        <b/>
        <sz val="10"/>
        <rFont val="Arial CYR"/>
        <charset val="204"/>
      </rPr>
      <t xml:space="preserve"> 2311,19 тыс.руб. </t>
    </r>
    <r>
      <rPr>
        <sz val="10"/>
        <rFont val="Arial CYR"/>
        <charset val="204"/>
      </rPr>
      <t>при  утверждении необходимой валовой выручки на 2017 г.</t>
    </r>
  </si>
  <si>
    <r>
      <t xml:space="preserve"> ???+доход от нк энергосбыт+ энергобытобслуживание </t>
    </r>
    <r>
      <rPr>
        <b/>
        <sz val="10"/>
        <color rgb="FFFF0000"/>
        <rFont val="Calibri"/>
        <family val="2"/>
        <charset val="204"/>
      </rPr>
      <t>≈</t>
    </r>
    <r>
      <rPr>
        <b/>
        <sz val="10"/>
        <color rgb="FFFF0000"/>
        <rFont val="Arial Cyr"/>
        <charset val="204"/>
      </rPr>
      <t>6,0+27,0=33,0т.р.</t>
    </r>
  </si>
  <si>
    <t>по сч-ф</t>
  </si>
  <si>
    <t xml:space="preserve"> + псх</t>
  </si>
  <si>
    <t>А. В. Кочетков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</si>
</sst>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8"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"/>
    <numFmt numFmtId="165" formatCode="0.000000"/>
    <numFmt numFmtId="166" formatCode="0.00000"/>
    <numFmt numFmtId="167" formatCode="0.0000"/>
    <numFmt numFmtId="168" formatCode="0.000"/>
    <numFmt numFmtId="169" formatCode="#,##0.000"/>
    <numFmt numFmtId="170" formatCode="#,##0.0"/>
    <numFmt numFmtId="171" formatCode="#,##0.0000"/>
    <numFmt numFmtId="172" formatCode="0.0%"/>
    <numFmt numFmtId="173" formatCode="[=0]&quot; --&quot;;#,##0.0"/>
    <numFmt numFmtId="174" formatCode="0.000%"/>
    <numFmt numFmtId="175" formatCode="_-* #,##0.00\ _?_._-;\-* #,##0.00\ _?_._-;_-* &quot;-&quot;??\ _?_._-;_-@_-"/>
    <numFmt numFmtId="176" formatCode="_-* #,##0\ &quot;руб&quot;_-;\-* #,##0\ &quot;руб&quot;_-;_-* &quot;-&quot;\ &quot;руб&quot;_-;_-@_-"/>
    <numFmt numFmtId="177" formatCode="000"/>
    <numFmt numFmtId="178" formatCode="_-* #,##0.0_р_._-;\-* #,##0.0_р_._-;_-* &quot;-&quot;?_р_._-;_-@_-"/>
    <numFmt numFmtId="179" formatCode="_-* #,##0.00[$€-1]_-;\-* #,##0.00[$€-1]_-;_-* &quot;-&quot;??[$€-1]_-"/>
    <numFmt numFmtId="180" formatCode="_-* #,##0.00_-;\-* #,##0.00_-;_-* &quot;-&quot;??_-;_-@_-"/>
    <numFmt numFmtId="181" formatCode="_-* #,##0\ _d_._-;\-* #,##0\ _d_._-;_-* &quot;-&quot;\ _d_._-;_-@_-"/>
    <numFmt numFmtId="182" formatCode="_-* #,##0.00\ _d_._-;\-* #,##0.00\ _d_._-;_-* &quot;-&quot;??\ _d_._-;_-@_-"/>
    <numFmt numFmtId="183" formatCode="_-* #,##0\ _đ_._-;\-* #,##0\ _đ_._-;_-* &quot;-&quot;\ _đ_._-;_-@_-"/>
    <numFmt numFmtId="184" formatCode="_-* #,##0.00\ _đ_._-;\-* #,##0.00\ _đ_._-;_-* &quot;-&quot;??\ _đ_._-;_-@_-"/>
    <numFmt numFmtId="185" formatCode="_-* #,##0_d_._-;\-* #,##0_d_._-;_-* &quot;-&quot;_d_._-;_-@_-"/>
    <numFmt numFmtId="186" formatCode="_-* #,##0.00_d_._-;\-* #,##0.00_d_._-;_-* &quot;-&quot;??_d_._-;_-@_-"/>
    <numFmt numFmtId="187" formatCode="_-* #,##0.0000\ &quot;р.&quot;_-;\-* #,##0.0000\ &quot;р.&quot;_-;_-* &quot;-&quot;??\ &quot;р.&quot;_-;_-@_-"/>
    <numFmt numFmtId="188" formatCode="_-* #,##0.00000\ &quot;р.&quot;_-;\-* #,##0.00000\ &quot;р.&quot;_-;_-* &quot;-&quot;??\ &quot;р.&quot;_-;_-@_-"/>
    <numFmt numFmtId="189" formatCode="_-* #,##0.00_р_._-;\-* #,##0.00_р_._-;_-* &quot;-&quot;?_р_._-;_-@_-"/>
    <numFmt numFmtId="190" formatCode="_-* #,##0.00_р_._-;\-* #,##0.00_р_._-;_-* &quot;-&quot;_р_._-;_-@_-"/>
    <numFmt numFmtId="191" formatCode="_-* #,##0\ _р_._-;\-* #,##0\ _р_._-;_-* &quot;-&quot;\ _р_._-;_-@_-"/>
    <numFmt numFmtId="192" formatCode="_-* #,##0.00\ _р_._-;\-* #,##0.00\ _р_._-;_-* &quot;-&quot;??\ _р_._-;_-@_-"/>
    <numFmt numFmtId="193" formatCode="[=0]&quot; --&quot;;#,##0.00"/>
    <numFmt numFmtId="194" formatCode="[=0]&quot; --&quot;;#,##0.000"/>
    <numFmt numFmtId="195" formatCode="[=0]&quot; --&quot;;#,##0.0000"/>
    <numFmt numFmtId="196" formatCode="[=0]&quot; --&quot;;#,##0.00000"/>
    <numFmt numFmtId="197" formatCode="[=0]&quot; --&quot;;#,##0.000000"/>
    <numFmt numFmtId="198" formatCode="[=0]&quot; --&quot;;#,##0"/>
    <numFmt numFmtId="199" formatCode="mm/yy"/>
    <numFmt numFmtId="200" formatCode="[$-419]d\ mmm\ yy;@"/>
    <numFmt numFmtId="201" formatCode="#,##0.00000"/>
    <numFmt numFmtId="202" formatCode="0.0%_);\(0.0%\)"/>
    <numFmt numFmtId="203" formatCode="#,##0_);[Red]\(#,##0\)"/>
    <numFmt numFmtId="204" formatCode="#.##0\.00"/>
    <numFmt numFmtId="205" formatCode="#\.00"/>
    <numFmt numFmtId="206" formatCode="#\."/>
    <numFmt numFmtId="207" formatCode="General_)"/>
    <numFmt numFmtId="208" formatCode="_-* #,##0&quot;đ.&quot;_-;\-* #,##0&quot;đ.&quot;_-;_-* &quot;-&quot;&quot;đ.&quot;_-;_-@_-"/>
    <numFmt numFmtId="209" formatCode="_-* #,##0.00&quot;đ.&quot;_-;\-* #,##0.00&quot;đ.&quot;_-;_-* &quot;-&quot;??&quot;đ.&quot;_-;_-@_-"/>
    <numFmt numFmtId="210" formatCode="&quot;$&quot;#,##0_);[Red]\(&quot;$&quot;#,##0\)"/>
    <numFmt numFmtId="211" formatCode="#,##0_);[Blue]\(#,##0\)"/>
    <numFmt numFmtId="212" formatCode="_-* #,##0_đ_._-;\-* #,##0_đ_._-;_-* &quot;-&quot;_đ_._-;_-@_-"/>
    <numFmt numFmtId="213" formatCode="_-* #,##0.00_đ_._-;\-* #,##0.00_đ_._-;_-* &quot;-&quot;??_đ_._-;_-@_-"/>
    <numFmt numFmtId="214" formatCode="_(* #,##0.00_);_(* \(#,##0.00\);_(* &quot;-&quot;??_);_(@_)"/>
    <numFmt numFmtId="215" formatCode="_-* #,##0.000_р_._-;\-* #,##0.000_р_._-;_-* &quot;-&quot;??_р_._-;_-@_-"/>
    <numFmt numFmtId="216" formatCode="_-* #,##0_р_._-;\-* #,##0_р_._-;_-* &quot;-&quot;??_р_._-;_-@_-"/>
    <numFmt numFmtId="217" formatCode="0.0000000"/>
  </numFmts>
  <fonts count="282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u/>
      <sz val="10"/>
      <color indexed="12"/>
      <name val="Arial Cyr"/>
      <charset val="204"/>
    </font>
    <font>
      <u/>
      <sz val="10"/>
      <color indexed="36"/>
      <name val="Arial Cyr"/>
      <charset val="204"/>
    </font>
    <font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sz val="10"/>
      <name val="Times New Roman"/>
      <family val="1"/>
    </font>
    <font>
      <sz val="9"/>
      <name val="Times New Roman"/>
      <family val="1"/>
    </font>
    <font>
      <sz val="10"/>
      <name val="Arial Cyr"/>
      <family val="2"/>
      <charset val="204"/>
    </font>
    <font>
      <sz val="14"/>
      <name val="Times New Roman Cyr"/>
      <charset val="204"/>
    </font>
    <font>
      <sz val="8"/>
      <name val="Arial Cyr"/>
      <charset val="204"/>
    </font>
    <font>
      <sz val="12"/>
      <name val="Times New Roman"/>
      <family val="1"/>
    </font>
    <font>
      <sz val="12"/>
      <name val="Times New Roman Cyr"/>
      <charset val="204"/>
    </font>
    <font>
      <sz val="10"/>
      <name val="Arial CYR"/>
      <charset val="204"/>
    </font>
    <font>
      <b/>
      <sz val="10"/>
      <color indexed="10"/>
      <name val="Times New Roman"/>
      <family val="1"/>
      <charset val="204"/>
    </font>
    <font>
      <u/>
      <sz val="10"/>
      <color indexed="12"/>
      <name val="Arial"/>
      <family val="2"/>
      <charset val="204"/>
    </font>
    <font>
      <u/>
      <sz val="10"/>
      <color indexed="36"/>
      <name val="Arial"/>
      <family val="2"/>
      <charset val="204"/>
    </font>
    <font>
      <sz val="10"/>
      <name val="Helv"/>
      <charset val="204"/>
    </font>
    <font>
      <sz val="10"/>
      <name val="Helv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i/>
      <sz val="10"/>
      <name val="Times New Roman Cyr"/>
      <family val="1"/>
      <charset val="204"/>
    </font>
    <font>
      <sz val="10"/>
      <color indexed="8"/>
      <name val="MS Sans Serif"/>
      <family val="2"/>
      <charset val="204"/>
    </font>
    <font>
      <sz val="10"/>
      <name val="Arial"/>
      <family val="2"/>
      <charset val="204"/>
    </font>
    <font>
      <u/>
      <sz val="7"/>
      <color indexed="36"/>
      <name val="Arial"/>
      <family val="2"/>
      <charset val="204"/>
    </font>
    <font>
      <b/>
      <sz val="12"/>
      <name val="Arial"/>
      <family val="2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u/>
      <sz val="9.6"/>
      <color indexed="12"/>
      <name val="Arial"/>
      <family val="2"/>
      <charset val="204"/>
    </font>
    <font>
      <sz val="10"/>
      <name val="MS Sans Serif"/>
      <family val="2"/>
      <charset val="204"/>
    </font>
    <font>
      <b/>
      <u/>
      <sz val="16"/>
      <name val="Arial"/>
      <family val="2"/>
      <charset val="204"/>
    </font>
    <font>
      <b/>
      <sz val="9"/>
      <name val="Helv"/>
      <charset val="204"/>
    </font>
    <font>
      <b/>
      <sz val="14"/>
      <name val="Helv"/>
      <charset val="204"/>
    </font>
    <font>
      <sz val="8"/>
      <name val="Arial"/>
      <family val="2"/>
      <charset val="204"/>
    </font>
    <font>
      <b/>
      <sz val="20"/>
      <name val="Times New Roman"/>
      <family val="1"/>
      <charset val="204"/>
    </font>
    <font>
      <b/>
      <sz val="8"/>
      <name val="Palatino"/>
      <family val="1"/>
      <charset val="204"/>
    </font>
    <font>
      <b/>
      <sz val="14"/>
      <name val="Times New Roman"/>
      <family val="1"/>
      <charset val="204"/>
    </font>
    <font>
      <sz val="10"/>
      <name val="Times New Roman CYR"/>
      <charset val="204"/>
    </font>
    <font>
      <i/>
      <sz val="12"/>
      <name val="Albertus Extra Bold Cyr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</font>
    <font>
      <sz val="11"/>
      <name val="Times New Roman"/>
      <family val="1"/>
      <charset val="204"/>
    </font>
    <font>
      <u/>
      <sz val="10"/>
      <color indexed="12"/>
      <name val="Times New Roman Cyr"/>
      <charset val="204"/>
    </font>
    <font>
      <sz val="8"/>
      <name val="Times New Roman"/>
      <family val="1"/>
    </font>
    <font>
      <b/>
      <sz val="9"/>
      <name val="Times New Roman"/>
      <family val="1"/>
      <charset val="204"/>
    </font>
    <font>
      <b/>
      <sz val="8"/>
      <color indexed="10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sz val="14"/>
      <name val="Garamond"/>
      <family val="1"/>
      <charset val="204"/>
    </font>
    <font>
      <i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Times New Roman Cyr"/>
      <charset val="204"/>
    </font>
    <font>
      <sz val="12"/>
      <name val="Times New Roman Cyr"/>
      <family val="1"/>
      <charset val="204"/>
    </font>
    <font>
      <b/>
      <sz val="10"/>
      <name val="Times New Roman CYR"/>
      <charset val="204"/>
    </font>
    <font>
      <b/>
      <sz val="14"/>
      <name val="Times New Roman Cyr"/>
      <family val="1"/>
      <charset val="204"/>
    </font>
    <font>
      <b/>
      <sz val="11"/>
      <name val="Times New Roman Cyr"/>
      <charset val="204"/>
    </font>
    <font>
      <sz val="10.5"/>
      <name val="Times New Roman CYR"/>
      <charset val="204"/>
    </font>
    <font>
      <b/>
      <sz val="10"/>
      <name val="Arial CYR"/>
      <charset val="204"/>
    </font>
    <font>
      <b/>
      <sz val="12"/>
      <name val="Garamond"/>
      <family val="1"/>
      <charset val="204"/>
    </font>
    <font>
      <b/>
      <sz val="13"/>
      <name val="Times New Roman"/>
      <family val="1"/>
      <charset val="204"/>
    </font>
    <font>
      <b/>
      <sz val="10"/>
      <color indexed="12"/>
      <name val="Times New Roman CYR"/>
      <charset val="204"/>
    </font>
    <font>
      <sz val="10"/>
      <color indexed="9"/>
      <name val="Times New Roman"/>
      <family val="1"/>
      <charset val="204"/>
    </font>
    <font>
      <b/>
      <sz val="9"/>
      <color indexed="10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sz val="10"/>
      <color indexed="10"/>
      <name val="Times New Roman CYR"/>
      <charset val="204"/>
    </font>
    <font>
      <sz val="8"/>
      <color indexed="10"/>
      <name val="Times New Roman"/>
      <family val="1"/>
      <charset val="204"/>
    </font>
    <font>
      <vertAlign val="subscript"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2"/>
      <color indexed="9"/>
      <name val="Times New Roman"/>
      <family val="1"/>
      <charset val="204"/>
    </font>
    <font>
      <i/>
      <sz val="11"/>
      <name val="Times New Roman"/>
      <family val="1"/>
      <charset val="204"/>
    </font>
    <font>
      <b/>
      <i/>
      <sz val="11"/>
      <name val="Times New Roman Cyr"/>
      <charset val="204"/>
    </font>
    <font>
      <b/>
      <sz val="8"/>
      <name val="Arial Cyr"/>
      <charset val="204"/>
    </font>
    <font>
      <b/>
      <vertAlign val="superscript"/>
      <sz val="11"/>
      <name val="Times New Roman"/>
      <family val="1"/>
      <charset val="204"/>
    </font>
    <font>
      <b/>
      <vertAlign val="superscript"/>
      <sz val="10"/>
      <color indexed="56"/>
      <name val="Times New Roman"/>
      <family val="1"/>
      <charset val="204"/>
    </font>
    <font>
      <b/>
      <sz val="10"/>
      <color indexed="56"/>
      <name val="Times New Roman"/>
      <family val="1"/>
      <charset val="204"/>
    </font>
    <font>
      <b/>
      <sz val="11"/>
      <color indexed="56"/>
      <name val="Times New Roman"/>
      <family val="1"/>
      <charset val="204"/>
    </font>
    <font>
      <b/>
      <vertAlign val="superscript"/>
      <sz val="11"/>
      <color indexed="56"/>
      <name val="Times New Roman"/>
      <family val="1"/>
      <charset val="204"/>
    </font>
    <font>
      <b/>
      <vertAlign val="superscript"/>
      <sz val="10"/>
      <color indexed="9"/>
      <name val="Times New Roman"/>
      <family val="1"/>
      <charset val="204"/>
    </font>
    <font>
      <b/>
      <sz val="10"/>
      <color indexed="9"/>
      <name val="Times New Roman"/>
      <family val="1"/>
      <charset val="204"/>
    </font>
    <font>
      <b/>
      <vertAlign val="superscript"/>
      <sz val="12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vertAlign val="superscript"/>
      <sz val="9"/>
      <color indexed="10"/>
      <name val="Times New Roman"/>
      <family val="1"/>
      <charset val="204"/>
    </font>
    <font>
      <b/>
      <i/>
      <u/>
      <sz val="10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4"/>
      <name val="Times New Roman"/>
      <family val="1"/>
    </font>
    <font>
      <sz val="10"/>
      <name val="Times New Roman CYR"/>
      <family val="1"/>
      <charset val="204"/>
    </font>
    <font>
      <sz val="10"/>
      <color indexed="8"/>
      <name val="Times New Roman"/>
      <family val="1"/>
      <charset val="204"/>
    </font>
    <font>
      <b/>
      <sz val="16"/>
      <name val="Times New Roman"/>
      <family val="1"/>
    </font>
    <font>
      <sz val="11"/>
      <name val="Arial Cyr"/>
      <charset val="204"/>
    </font>
    <font>
      <b/>
      <i/>
      <sz val="10"/>
      <name val="Times New Roman Cyr"/>
      <charset val="204"/>
    </font>
    <font>
      <sz val="11"/>
      <color indexed="56"/>
      <name val="Times New Roman CYR"/>
      <charset val="204"/>
    </font>
    <font>
      <vertAlign val="subscript"/>
      <sz val="11"/>
      <name val="Times New Roman"/>
      <family val="1"/>
      <charset val="204"/>
    </font>
    <font>
      <sz val="12"/>
      <name val="Arial Cyr"/>
      <charset val="204"/>
    </font>
    <font>
      <b/>
      <sz val="14"/>
      <name val="Franklin Gothic Medium"/>
      <family val="2"/>
      <charset val="204"/>
    </font>
    <font>
      <b/>
      <sz val="9"/>
      <name val="Tahoma"/>
      <family val="2"/>
      <charset val="204"/>
    </font>
    <font>
      <sz val="9"/>
      <name val="Tahoma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i/>
      <sz val="10"/>
      <name val="Arial Cyr"/>
      <charset val="204"/>
    </font>
    <font>
      <b/>
      <sz val="11"/>
      <name val="Tahoma"/>
      <family val="2"/>
      <charset val="204"/>
    </font>
    <font>
      <i/>
      <sz val="9"/>
      <name val="Tahoma"/>
      <family val="2"/>
      <charset val="204"/>
    </font>
    <font>
      <b/>
      <sz val="12"/>
      <color indexed="10"/>
      <name val="Arial Cyr"/>
      <charset val="204"/>
    </font>
    <font>
      <b/>
      <sz val="14"/>
      <name val="Arial Cyr"/>
      <family val="2"/>
      <charset val="204"/>
    </font>
    <font>
      <b/>
      <sz val="12"/>
      <name val="Arial Cyr"/>
      <family val="2"/>
      <charset val="204"/>
    </font>
    <font>
      <b/>
      <sz val="11"/>
      <name val="Arial Cyr"/>
      <family val="2"/>
      <charset val="204"/>
    </font>
    <font>
      <sz val="8"/>
      <name val="Arial Cyr"/>
      <family val="2"/>
      <charset val="204"/>
    </font>
    <font>
      <b/>
      <sz val="10"/>
      <name val="Arial Cyr"/>
      <family val="2"/>
      <charset val="204"/>
    </font>
    <font>
      <b/>
      <sz val="11"/>
      <name val="Arial"/>
      <family val="2"/>
      <charset val="204"/>
    </font>
    <font>
      <b/>
      <sz val="11"/>
      <color indexed="10"/>
      <name val="Arial Cyr"/>
      <charset val="204"/>
    </font>
    <font>
      <b/>
      <sz val="10"/>
      <color indexed="60"/>
      <name val="Times New Roman Cyr"/>
      <charset val="204"/>
    </font>
    <font>
      <i/>
      <sz val="11"/>
      <name val="Times New Roman Cyr"/>
      <charset val="204"/>
    </font>
    <font>
      <b/>
      <sz val="14"/>
      <name val="Times New Roman Cyr"/>
      <charset val="204"/>
    </font>
    <font>
      <sz val="12"/>
      <color indexed="10"/>
      <name val="Times New Roman CYR"/>
      <charset val="204"/>
    </font>
    <font>
      <i/>
      <sz val="12"/>
      <name val="Times New Roman Cyr"/>
      <charset val="204"/>
    </font>
    <font>
      <b/>
      <sz val="12"/>
      <name val="Times New Roman Cyr"/>
      <charset val="204"/>
    </font>
    <font>
      <b/>
      <i/>
      <sz val="12"/>
      <name val="Times New Roman Cyr"/>
      <charset val="204"/>
    </font>
    <font>
      <b/>
      <sz val="12"/>
      <color indexed="9"/>
      <name val="Times New Roman"/>
      <family val="1"/>
      <charset val="204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sz val="10"/>
      <color indexed="10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b/>
      <i/>
      <sz val="12"/>
      <color indexed="10"/>
      <name val="Times New Roman"/>
      <family val="1"/>
      <charset val="204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indexed="10"/>
      <name val="Arial"/>
      <family val="2"/>
      <charset val="204"/>
    </font>
    <font>
      <vertAlign val="subscript"/>
      <sz val="14"/>
      <color indexed="8"/>
      <name val="Arial"/>
      <family val="2"/>
      <charset val="204"/>
    </font>
    <font>
      <i/>
      <sz val="11"/>
      <name val="Arial"/>
      <family val="2"/>
      <charset val="204"/>
    </font>
    <font>
      <b/>
      <sz val="11"/>
      <color indexed="10"/>
      <name val="Arial"/>
      <family val="2"/>
      <charset val="204"/>
    </font>
    <font>
      <vertAlign val="superscript"/>
      <sz val="14"/>
      <color indexed="10"/>
      <name val="Arial Cyr"/>
      <charset val="204"/>
    </font>
    <font>
      <vertAlign val="subscript"/>
      <sz val="14"/>
      <color indexed="10"/>
      <name val="Arial Cyr"/>
      <charset val="204"/>
    </font>
    <font>
      <sz val="11"/>
      <color indexed="10"/>
      <name val="Arial Cyr"/>
      <charset val="204"/>
    </font>
    <font>
      <vertAlign val="subscript"/>
      <sz val="11"/>
      <color indexed="10"/>
      <name val="Arial Cyr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8"/>
      <color indexed="9"/>
      <name val="Arial Cyr"/>
      <charset val="204"/>
    </font>
    <font>
      <sz val="11"/>
      <color indexed="8"/>
      <name val="Calibri"/>
      <family val="2"/>
      <charset val="204"/>
    </font>
    <font>
      <sz val="10"/>
      <color indexed="10"/>
      <name val="Arial Cyr"/>
      <family val="2"/>
      <charset val="204"/>
    </font>
    <font>
      <b/>
      <sz val="10"/>
      <color indexed="10"/>
      <name val="Times New Roman"/>
      <family val="1"/>
      <charset val="204"/>
    </font>
    <font>
      <b/>
      <sz val="10"/>
      <color indexed="56"/>
      <name val="Times New Roman"/>
      <family val="1"/>
      <charset val="204"/>
    </font>
    <font>
      <sz val="10"/>
      <color indexed="56"/>
      <name val="Times New Roman"/>
      <family val="1"/>
      <charset val="204"/>
    </font>
    <font>
      <b/>
      <sz val="10"/>
      <color indexed="9"/>
      <name val="Times New Roman"/>
      <family val="1"/>
      <charset val="204"/>
    </font>
    <font>
      <b/>
      <sz val="9"/>
      <color indexed="56"/>
      <name val="Times New Roman"/>
      <family val="1"/>
      <charset val="204"/>
    </font>
    <font>
      <b/>
      <sz val="9"/>
      <color indexed="10"/>
      <name val="Times New Roman"/>
      <family val="1"/>
      <charset val="204"/>
    </font>
    <font>
      <sz val="10"/>
      <color indexed="9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8"/>
      <color indexed="10"/>
      <name val="Times New Roman"/>
      <family val="1"/>
      <charset val="204"/>
    </font>
    <font>
      <b/>
      <sz val="10"/>
      <color indexed="9"/>
      <name val="Arial Cyr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sz val="11"/>
      <color indexed="56"/>
      <name val="Times New Roman"/>
      <family val="1"/>
      <charset val="204"/>
    </font>
    <font>
      <sz val="10"/>
      <color indexed="10"/>
      <name val="Arial Cyr"/>
      <charset val="204"/>
    </font>
    <font>
      <sz val="10"/>
      <color indexed="10"/>
      <name val="Times New Roman"/>
      <family val="1"/>
    </font>
    <font>
      <b/>
      <sz val="9"/>
      <color indexed="10"/>
      <name val="Times New Roman Cyr"/>
      <charset val="204"/>
    </font>
    <font>
      <b/>
      <sz val="9"/>
      <color indexed="56"/>
      <name val="Times New Roman Cyr"/>
      <charset val="204"/>
    </font>
    <font>
      <b/>
      <sz val="11"/>
      <color indexed="56"/>
      <name val="Times New Roman Cyr"/>
      <charset val="204"/>
    </font>
    <font>
      <b/>
      <sz val="10"/>
      <color indexed="56"/>
      <name val="Times New Roman Cyr"/>
      <charset val="204"/>
    </font>
    <font>
      <sz val="8"/>
      <color indexed="10"/>
      <name val="Times New Roman"/>
      <family val="1"/>
      <charset val="204"/>
    </font>
    <font>
      <b/>
      <sz val="10"/>
      <color indexed="10"/>
      <name val="Times New Roman CYR"/>
      <charset val="204"/>
    </font>
    <font>
      <b/>
      <sz val="8"/>
      <color indexed="56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b/>
      <sz val="10"/>
      <color indexed="10"/>
      <name val="Arial Cyr"/>
      <charset val="204"/>
    </font>
    <font>
      <b/>
      <sz val="12"/>
      <color indexed="10"/>
      <name val="Arial Cyr"/>
      <charset val="204"/>
    </font>
    <font>
      <b/>
      <sz val="9"/>
      <color indexed="10"/>
      <name val="Arial Cyr"/>
      <charset val="204"/>
    </font>
    <font>
      <b/>
      <sz val="8"/>
      <color indexed="10"/>
      <name val="Arial Cyr"/>
      <charset val="204"/>
    </font>
    <font>
      <b/>
      <sz val="10"/>
      <color indexed="56"/>
      <name val="Arial Cyr"/>
      <charset val="204"/>
    </font>
    <font>
      <sz val="8"/>
      <color indexed="9"/>
      <name val="Times New Roman"/>
      <family val="1"/>
      <charset val="204"/>
    </font>
    <font>
      <sz val="11"/>
      <color indexed="10"/>
      <name val="Times New Roman"/>
      <family val="1"/>
    </font>
    <font>
      <sz val="11"/>
      <color indexed="9"/>
      <name val="Times New Roman"/>
      <family val="1"/>
    </font>
    <font>
      <sz val="11"/>
      <color indexed="8"/>
      <name val="Times New Roman"/>
      <family val="1"/>
    </font>
    <font>
      <b/>
      <sz val="11"/>
      <color indexed="10"/>
      <name val="Arial Cyr"/>
      <family val="2"/>
      <charset val="204"/>
    </font>
    <font>
      <b/>
      <sz val="11"/>
      <color indexed="9"/>
      <name val="Arial Cyr"/>
      <family val="2"/>
      <charset val="204"/>
    </font>
    <font>
      <i/>
      <sz val="11"/>
      <color indexed="10"/>
      <name val="Times New Roman Cyr"/>
      <charset val="204"/>
    </font>
    <font>
      <sz val="10"/>
      <color indexed="10"/>
      <name val="Times New Roman CYR"/>
      <charset val="204"/>
    </font>
    <font>
      <sz val="12"/>
      <color indexed="10"/>
      <name val="Times New Roman CYR"/>
      <charset val="204"/>
    </font>
    <font>
      <b/>
      <sz val="12"/>
      <color indexed="10"/>
      <name val="Times New Roman Cyr"/>
      <charset val="204"/>
    </font>
    <font>
      <b/>
      <sz val="11"/>
      <color indexed="10"/>
      <name val="Times New Roman Cyr"/>
      <charset val="204"/>
    </font>
    <font>
      <i/>
      <sz val="12"/>
      <color indexed="10"/>
      <name val="Times New Roman Cyr"/>
      <charset val="204"/>
    </font>
    <font>
      <sz val="12"/>
      <color indexed="9"/>
      <name val="Times New Roman Cyr"/>
      <charset val="204"/>
    </font>
    <font>
      <i/>
      <sz val="12"/>
      <color indexed="9"/>
      <name val="Times New Roman Cyr"/>
      <charset val="204"/>
    </font>
    <font>
      <b/>
      <sz val="12"/>
      <color indexed="9"/>
      <name val="Times New Roman"/>
      <family val="1"/>
      <charset val="204"/>
    </font>
    <font>
      <b/>
      <i/>
      <sz val="10"/>
      <color indexed="10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i/>
      <sz val="10"/>
      <color indexed="10"/>
      <name val="Calibri"/>
      <family val="2"/>
      <charset val="204"/>
    </font>
    <font>
      <b/>
      <u/>
      <sz val="10"/>
      <color indexed="9"/>
      <name val="Times New Roman"/>
      <family val="1"/>
      <charset val="204"/>
    </font>
    <font>
      <b/>
      <i/>
      <sz val="10"/>
      <color indexed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u/>
      <sz val="12"/>
      <color indexed="10"/>
      <name val="Times New Roman"/>
      <family val="1"/>
      <charset val="204"/>
    </font>
    <font>
      <b/>
      <u/>
      <sz val="10"/>
      <color indexed="56"/>
      <name val="Times New Roman"/>
      <family val="1"/>
      <charset val="204"/>
    </font>
    <font>
      <b/>
      <u/>
      <sz val="10"/>
      <color indexed="10"/>
      <name val="Times New Roman"/>
      <family val="1"/>
      <charset val="204"/>
    </font>
    <font>
      <b/>
      <sz val="12"/>
      <color indexed="56"/>
      <name val="Arial Cyr"/>
      <charset val="204"/>
    </font>
    <font>
      <b/>
      <sz val="12"/>
      <color indexed="56"/>
      <name val="Times New Roman"/>
      <family val="1"/>
      <charset val="204"/>
    </font>
    <font>
      <sz val="8"/>
      <color indexed="56"/>
      <name val="Arial Cyr"/>
      <charset val="204"/>
    </font>
    <font>
      <sz val="11"/>
      <color indexed="10"/>
      <name val="Arial"/>
      <family val="2"/>
      <charset val="204"/>
    </font>
    <font>
      <b/>
      <sz val="11"/>
      <color indexed="10"/>
      <name val="Arial"/>
      <family val="2"/>
      <charset val="204"/>
    </font>
    <font>
      <sz val="11"/>
      <color indexed="10"/>
      <name val="Arial Cyr"/>
      <charset val="204"/>
    </font>
    <font>
      <b/>
      <sz val="11"/>
      <color indexed="9"/>
      <name val="Arial Cyr"/>
      <charset val="204"/>
    </font>
    <font>
      <sz val="11"/>
      <color indexed="9"/>
      <name val="Arial"/>
      <family val="2"/>
      <charset val="204"/>
    </font>
    <font>
      <b/>
      <sz val="11"/>
      <color indexed="56"/>
      <name val="Arial"/>
      <family val="2"/>
      <charset val="204"/>
    </font>
    <font>
      <sz val="11"/>
      <color indexed="10"/>
      <name val="Times New Roman"/>
      <family val="1"/>
      <charset val="204"/>
    </font>
    <font>
      <sz val="9"/>
      <color indexed="10"/>
      <name val="Times New Roman"/>
      <family val="1"/>
      <charset val="204"/>
    </font>
    <font>
      <sz val="8"/>
      <color indexed="12"/>
      <name val="Arial"/>
      <family val="2"/>
      <charset val="204"/>
    </font>
    <font>
      <sz val="1"/>
      <color indexed="8"/>
      <name val="Courier"/>
      <family val="1"/>
      <charset val="204"/>
    </font>
    <font>
      <b/>
      <sz val="10"/>
      <color indexed="12"/>
      <name val="Arial Cyr"/>
      <family val="2"/>
      <charset val="204"/>
    </font>
    <font>
      <u/>
      <sz val="8"/>
      <color indexed="12"/>
      <name val="Arial Cyr"/>
      <charset val="204"/>
    </font>
    <font>
      <sz val="18"/>
      <name val="Arial"/>
      <family val="2"/>
      <charset val="204"/>
    </font>
    <font>
      <i/>
      <sz val="12"/>
      <name val="Arial"/>
      <family val="2"/>
      <charset val="204"/>
    </font>
    <font>
      <sz val="12"/>
      <name val="Symbol"/>
      <family val="1"/>
      <charset val="2"/>
    </font>
    <font>
      <sz val="18"/>
      <name val="Symbol"/>
      <family val="1"/>
      <charset val="2"/>
    </font>
    <font>
      <sz val="8"/>
      <name val="Symbol"/>
      <family val="1"/>
      <charset val="2"/>
    </font>
    <font>
      <i/>
      <sz val="12"/>
      <name val="Symbol"/>
      <family val="1"/>
      <charset val="2"/>
    </font>
    <font>
      <b/>
      <sz val="10"/>
      <color indexed="18"/>
      <name val="Arial Cyr"/>
      <charset val="204"/>
    </font>
    <font>
      <sz val="10"/>
      <name val="Courier"/>
      <family val="3"/>
    </font>
    <font>
      <sz val="12"/>
      <name val="Arial"/>
      <family val="2"/>
      <charset val="204"/>
    </font>
    <font>
      <sz val="8"/>
      <name val="Helv"/>
      <charset val="204"/>
    </font>
    <font>
      <sz val="8"/>
      <name val="Helv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6"/>
      <color indexed="23"/>
      <name val="Arial"/>
      <family val="2"/>
      <charset val="204"/>
    </font>
    <font>
      <sz val="10"/>
      <color indexed="10"/>
      <name val="Arial"/>
      <family val="2"/>
    </font>
    <font>
      <b/>
      <u/>
      <sz val="9"/>
      <color indexed="12"/>
      <name val="Tahoma"/>
      <family val="2"/>
      <charset val="204"/>
    </font>
    <font>
      <sz val="10"/>
      <color indexed="64"/>
      <name val="Arial"/>
      <family val="2"/>
      <charset val="204"/>
    </font>
    <font>
      <sz val="10"/>
      <name val="Arial"/>
      <family val="2"/>
    </font>
    <font>
      <sz val="11"/>
      <name val="Times New Roman CYR"/>
      <family val="1"/>
      <charset val="204"/>
    </font>
    <font>
      <sz val="10"/>
      <name val="Arial Cyr"/>
    </font>
    <font>
      <sz val="8"/>
      <color indexed="8"/>
      <name val="Times New Roman"/>
      <family val="1"/>
      <charset val="204"/>
    </font>
    <font>
      <b/>
      <sz val="10"/>
      <name val="Tahoma"/>
      <family val="2"/>
      <charset val="204"/>
    </font>
    <font>
      <b/>
      <sz val="1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0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0"/>
      <color rgb="FFFF0000"/>
      <name val="Arial Cyr"/>
      <charset val="204"/>
    </font>
    <font>
      <sz val="11"/>
      <color rgb="FFFF0000"/>
      <name val="Arial"/>
      <family val="2"/>
      <charset val="204"/>
    </font>
    <font>
      <b/>
      <sz val="11"/>
      <color rgb="FFFF0000"/>
      <name val="Arial"/>
      <family val="2"/>
      <charset val="204"/>
    </font>
    <font>
      <sz val="10"/>
      <color rgb="FFFF0000"/>
      <name val="Arial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rgb="FFFF0000"/>
      <name val="Times New Roman"/>
      <family val="1"/>
    </font>
    <font>
      <b/>
      <i/>
      <sz val="12"/>
      <color rgb="FFFF0000"/>
      <name val="Times New Roman"/>
      <family val="1"/>
      <charset val="204"/>
    </font>
    <font>
      <b/>
      <sz val="10"/>
      <color theme="3"/>
      <name val="Arial Cyr"/>
      <charset val="204"/>
    </font>
    <font>
      <i/>
      <sz val="10"/>
      <color rgb="FFFF0000"/>
      <name val="Arial Cyr"/>
      <charset val="204"/>
    </font>
    <font>
      <b/>
      <sz val="12"/>
      <color rgb="FFFF0000"/>
      <name val="Arial Cyr"/>
      <charset val="204"/>
    </font>
    <font>
      <b/>
      <i/>
      <sz val="10"/>
      <color rgb="FFFF0000"/>
      <name val="Arial Cyr"/>
      <charset val="204"/>
    </font>
    <font>
      <b/>
      <i/>
      <sz val="10"/>
      <color rgb="FFFF0000"/>
      <name val="Times New Roman"/>
      <family val="1"/>
      <charset val="204"/>
    </font>
    <font>
      <sz val="12"/>
      <color theme="0"/>
      <name val="Times New Roman"/>
      <family val="1"/>
      <charset val="204"/>
    </font>
    <font>
      <b/>
      <i/>
      <sz val="10"/>
      <name val="Arial Cyr"/>
      <charset val="204"/>
    </font>
    <font>
      <b/>
      <sz val="10"/>
      <color rgb="FFFF0000"/>
      <name val="Calibri"/>
      <family val="2"/>
      <charset val="204"/>
    </font>
  </fonts>
  <fills count="6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8"/>
      </patternFill>
    </fill>
    <fill>
      <patternFill patternType="solid">
        <fgColor indexed="27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33"/>
        <b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26"/>
      </patternFill>
    </fill>
  </fills>
  <borders count="10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4"/>
      </bottom>
      <diagonal/>
    </border>
    <border>
      <left/>
      <right/>
      <top style="thin">
        <color indexed="63"/>
      </top>
      <bottom style="thin">
        <color indexed="64"/>
      </bottom>
      <diagonal/>
    </border>
    <border>
      <left/>
      <right/>
      <top style="thin">
        <color indexed="63"/>
      </top>
      <bottom/>
      <diagonal/>
    </border>
    <border>
      <left/>
      <right style="thin">
        <color indexed="63"/>
      </right>
      <top style="thin">
        <color indexed="63"/>
      </top>
      <bottom/>
      <diagonal/>
    </border>
    <border>
      <left/>
      <right style="thin">
        <color indexed="63"/>
      </right>
      <top style="thin">
        <color indexed="63"/>
      </top>
      <bottom style="thin">
        <color indexed="64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437">
    <xf numFmtId="0" fontId="0" fillId="0" borderId="0"/>
    <xf numFmtId="0" fontId="28" fillId="0" borderId="0">
      <protection locked="0"/>
    </xf>
    <xf numFmtId="0" fontId="28" fillId="0" borderId="1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7" fillId="0" borderId="0"/>
    <xf numFmtId="172" fontId="42" fillId="0" borderId="0">
      <alignment vertical="top"/>
    </xf>
    <xf numFmtId="172" fontId="231" fillId="0" borderId="0">
      <alignment vertical="top"/>
    </xf>
    <xf numFmtId="202" fontId="231" fillId="2" borderId="0">
      <alignment vertical="top"/>
    </xf>
    <xf numFmtId="172" fontId="231" fillId="3" borderId="0">
      <alignment vertical="top"/>
    </xf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4" fillId="0" borderId="0"/>
    <xf numFmtId="175" fontId="4" fillId="0" borderId="0" applyFont="0" applyFill="0" applyBorder="0" applyAlignment="0" applyProtection="0"/>
    <xf numFmtId="0" fontId="26" fillId="0" borderId="0"/>
    <xf numFmtId="0" fontId="26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3" fontId="42" fillId="0" borderId="0">
      <alignment vertical="top"/>
    </xf>
    <xf numFmtId="38" fontId="42" fillId="0" borderId="0">
      <alignment vertical="top"/>
    </xf>
    <xf numFmtId="203" fontId="42" fillId="0" borderId="0">
      <alignment vertical="top"/>
    </xf>
    <xf numFmtId="203" fontId="42" fillId="0" borderId="0">
      <alignment vertical="top"/>
    </xf>
    <xf numFmtId="38" fontId="42" fillId="0" borderId="0">
      <alignment vertical="top"/>
    </xf>
    <xf numFmtId="203" fontId="42" fillId="0" borderId="0">
      <alignment vertical="top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203" fontId="42" fillId="0" borderId="0">
      <alignment vertical="top"/>
    </xf>
    <xf numFmtId="38" fontId="42" fillId="0" borderId="0">
      <alignment vertical="top"/>
    </xf>
    <xf numFmtId="203" fontId="42" fillId="0" borderId="0">
      <alignment vertical="top"/>
    </xf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203" fontId="42" fillId="0" borderId="0">
      <alignment vertical="top"/>
    </xf>
    <xf numFmtId="38" fontId="42" fillId="0" borderId="0">
      <alignment vertical="top"/>
    </xf>
    <xf numFmtId="203" fontId="42" fillId="0" borderId="0">
      <alignment vertical="top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203" fontId="42" fillId="0" borderId="0">
      <alignment vertical="top"/>
    </xf>
    <xf numFmtId="38" fontId="42" fillId="0" borderId="0">
      <alignment vertical="top"/>
    </xf>
    <xf numFmtId="203" fontId="42" fillId="0" borderId="0">
      <alignment vertical="top"/>
    </xf>
    <xf numFmtId="203" fontId="42" fillId="0" borderId="0">
      <alignment vertical="top"/>
    </xf>
    <xf numFmtId="38" fontId="42" fillId="0" borderId="0">
      <alignment vertical="top"/>
    </xf>
    <xf numFmtId="203" fontId="42" fillId="0" borderId="0">
      <alignment vertical="top"/>
    </xf>
    <xf numFmtId="0" fontId="26" fillId="0" borderId="0"/>
    <xf numFmtId="0" fontId="26" fillId="0" borderId="0"/>
    <xf numFmtId="0" fontId="27" fillId="0" borderId="0"/>
    <xf numFmtId="0" fontId="27" fillId="0" borderId="0"/>
    <xf numFmtId="0" fontId="26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206" fontId="232" fillId="0" borderId="1">
      <protection locked="0"/>
    </xf>
    <xf numFmtId="0" fontId="28" fillId="0" borderId="0">
      <protection locked="0"/>
    </xf>
    <xf numFmtId="0" fontId="28" fillId="0" borderId="0">
      <protection locked="0"/>
    </xf>
    <xf numFmtId="204" fontId="232" fillId="0" borderId="0">
      <protection locked="0"/>
    </xf>
    <xf numFmtId="205" fontId="232" fillId="0" borderId="0">
      <protection locked="0"/>
    </xf>
    <xf numFmtId="0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8" fillId="0" borderId="1">
      <protection locked="0"/>
    </xf>
    <xf numFmtId="176" fontId="4" fillId="0" borderId="0">
      <alignment horizontal="center"/>
    </xf>
    <xf numFmtId="0" fontId="29" fillId="0" borderId="0">
      <protection locked="0"/>
    </xf>
    <xf numFmtId="0" fontId="29" fillId="0" borderId="0">
      <protection locked="0"/>
    </xf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4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5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6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8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9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1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12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7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0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6" fillId="13" borderId="0" applyNumberFormat="0" applyBorder="0" applyAlignment="0" applyProtection="0"/>
    <xf numFmtId="0" fontId="107" fillId="14" borderId="0" applyNumberFormat="0" applyBorder="0" applyAlignment="0" applyProtection="0"/>
    <xf numFmtId="0" fontId="107" fillId="11" borderId="0" applyNumberFormat="0" applyBorder="0" applyAlignment="0" applyProtection="0"/>
    <xf numFmtId="0" fontId="107" fillId="12" borderId="0" applyNumberFormat="0" applyBorder="0" applyAlignment="0" applyProtection="0"/>
    <xf numFmtId="0" fontId="107" fillId="15" borderId="0" applyNumberFormat="0" applyBorder="0" applyAlignment="0" applyProtection="0"/>
    <xf numFmtId="0" fontId="107" fillId="16" borderId="0" applyNumberFormat="0" applyBorder="0" applyAlignment="0" applyProtection="0"/>
    <xf numFmtId="0" fontId="107" fillId="17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4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1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2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0" fontId="107" fillId="17" borderId="0" applyNumberFormat="0" applyBorder="0" applyAlignment="0" applyProtection="0"/>
    <xf numFmtId="177" fontId="30" fillId="0" borderId="0" applyFont="0" applyFill="0" applyBorder="0" applyAlignment="0" applyProtection="0"/>
    <xf numFmtId="174" fontId="30" fillId="0" borderId="0" applyFont="0" applyFill="0" applyBorder="0" applyAlignment="0" applyProtection="0"/>
    <xf numFmtId="0" fontId="107" fillId="18" borderId="0" applyNumberFormat="0" applyBorder="0" applyAlignment="0" applyProtection="0"/>
    <xf numFmtId="0" fontId="107" fillId="19" borderId="0" applyNumberFormat="0" applyBorder="0" applyAlignment="0" applyProtection="0"/>
    <xf numFmtId="0" fontId="107" fillId="20" borderId="0" applyNumberFormat="0" applyBorder="0" applyAlignment="0" applyProtection="0"/>
    <xf numFmtId="0" fontId="107" fillId="15" borderId="0" applyNumberFormat="0" applyBorder="0" applyAlignment="0" applyProtection="0"/>
    <xf numFmtId="0" fontId="107" fillId="16" borderId="0" applyNumberFormat="0" applyBorder="0" applyAlignment="0" applyProtection="0"/>
    <xf numFmtId="0" fontId="107" fillId="21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207" fontId="17" fillId="0" borderId="2">
      <protection locked="0"/>
    </xf>
    <xf numFmtId="208" fontId="22" fillId="0" borderId="0" applyFont="0" applyFill="0" applyBorder="0" applyAlignment="0" applyProtection="0"/>
    <xf numFmtId="209" fontId="22" fillId="0" borderId="0" applyFont="0" applyFill="0" applyBorder="0" applyAlignment="0" applyProtection="0"/>
    <xf numFmtId="0" fontId="115" fillId="5" borderId="0" applyNumberFormat="0" applyBorder="0" applyAlignment="0" applyProtection="0"/>
    <xf numFmtId="0" fontId="31" fillId="0" borderId="0" applyFill="0" applyBorder="0" applyAlignment="0"/>
    <xf numFmtId="0" fontId="110" fillId="22" borderId="3" applyNumberFormat="0" applyAlignment="0" applyProtection="0"/>
    <xf numFmtId="0" fontId="112" fillId="23" borderId="4" applyNumberFormat="0" applyAlignment="0" applyProtection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3" fontId="32" fillId="24" borderId="0" applyFont="0" applyFill="0" applyBorder="0" applyAlignment="0" applyProtection="0"/>
    <xf numFmtId="207" fontId="233" fillId="25" borderId="2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42" fontId="32" fillId="0" borderId="0" applyFont="0" applyFill="0" applyBorder="0" applyAlignment="0" applyProtection="0"/>
    <xf numFmtId="44" fontId="32" fillId="0" borderId="0" applyFont="0" applyFill="0" applyBorder="0" applyAlignment="0" applyProtection="0"/>
    <xf numFmtId="178" fontId="30" fillId="24" borderId="0" applyFont="0" applyFill="0" applyBorder="0" applyAlignment="0" applyProtection="0"/>
    <xf numFmtId="0" fontId="32" fillId="24" borderId="0" applyFont="0" applyFill="0" applyBorder="0" applyAlignment="0" applyProtection="0"/>
    <xf numFmtId="14" fontId="19" fillId="0" borderId="0">
      <alignment vertical="top"/>
    </xf>
    <xf numFmtId="203" fontId="234" fillId="0" borderId="0">
      <alignment vertical="top"/>
    </xf>
    <xf numFmtId="179" fontId="4" fillId="0" borderId="0" applyFont="0" applyFill="0" applyBorder="0" applyAlignment="0" applyProtection="0"/>
    <xf numFmtId="0" fontId="116" fillId="0" borderId="0" applyNumberFormat="0" applyFill="0" applyBorder="0" applyAlignment="0" applyProtection="0"/>
    <xf numFmtId="164" fontId="235" fillId="0" borderId="0" applyFill="0" applyBorder="0" applyAlignment="0" applyProtection="0"/>
    <xf numFmtId="164" fontId="42" fillId="0" borderId="0" applyFill="0" applyBorder="0" applyAlignment="0" applyProtection="0"/>
    <xf numFmtId="164" fontId="236" fillId="0" borderId="0" applyFill="0" applyBorder="0" applyAlignment="0" applyProtection="0"/>
    <xf numFmtId="164" fontId="237" fillId="0" borderId="0" applyFill="0" applyBorder="0" applyAlignment="0" applyProtection="0"/>
    <xf numFmtId="164" fontId="238" fillId="0" borderId="0" applyFill="0" applyBorder="0" applyAlignment="0" applyProtection="0"/>
    <xf numFmtId="164" fontId="239" fillId="0" borderId="0" applyFill="0" applyBorder="0" applyAlignment="0" applyProtection="0"/>
    <xf numFmtId="164" fontId="240" fillId="0" borderId="0" applyFill="0" applyBorder="0" applyAlignment="0" applyProtection="0"/>
    <xf numFmtId="2" fontId="32" fillId="24" borderId="0" applyFont="0" applyFill="0" applyBorder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119" fillId="6" borderId="0" applyNumberFormat="0" applyBorder="0" applyAlignment="0" applyProtection="0"/>
    <xf numFmtId="0" fontId="34" fillId="0" borderId="5" applyNumberFormat="0" applyAlignment="0" applyProtection="0">
      <alignment horizontal="left" vertical="center"/>
    </xf>
    <xf numFmtId="0" fontId="34" fillId="0" borderId="6">
      <alignment horizontal="left" vertical="center"/>
    </xf>
    <xf numFmtId="0" fontId="241" fillId="0" borderId="0">
      <alignment vertical="top"/>
    </xf>
    <xf numFmtId="0" fontId="35" fillId="24" borderId="0" applyNumberFormat="0" applyFill="0" applyBorder="0" applyAlignment="0" applyProtection="0"/>
    <xf numFmtId="0" fontId="36" fillId="24" borderId="0" applyNumberFormat="0" applyFill="0" applyBorder="0" applyAlignment="0" applyProtection="0"/>
    <xf numFmtId="0" fontId="111" fillId="0" borderId="7" applyNumberFormat="0" applyFill="0" applyAlignment="0" applyProtection="0"/>
    <xf numFmtId="0" fontId="111" fillId="0" borderId="0" applyNumberFormat="0" applyFill="0" applyBorder="0" applyAlignment="0" applyProtection="0"/>
    <xf numFmtId="203" fontId="80" fillId="0" borderId="0">
      <alignment vertical="top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0"/>
    <xf numFmtId="207" fontId="242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108" fillId="9" borderId="3" applyNumberFormat="0" applyAlignment="0" applyProtection="0"/>
    <xf numFmtId="203" fontId="231" fillId="0" borderId="0">
      <alignment vertical="top"/>
    </xf>
    <xf numFmtId="203" fontId="231" fillId="2" borderId="0">
      <alignment vertical="top"/>
    </xf>
    <xf numFmtId="211" fontId="231" fillId="3" borderId="0">
      <alignment vertical="top"/>
    </xf>
    <xf numFmtId="38" fontId="231" fillId="0" borderId="0">
      <alignment vertical="top"/>
    </xf>
    <xf numFmtId="0" fontId="6" fillId="0" borderId="0" applyNumberFormat="0" applyFill="0" applyBorder="0" applyAlignment="0" applyProtection="0">
      <alignment vertical="top"/>
      <protection locked="0"/>
    </xf>
    <xf numFmtId="0" fontId="39" fillId="0" borderId="0">
      <alignment vertical="center"/>
    </xf>
    <xf numFmtId="180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0" fontId="40" fillId="0" borderId="0" applyProtection="0">
      <alignment vertical="center"/>
      <protection locked="0"/>
    </xf>
    <xf numFmtId="0" fontId="40" fillId="0" borderId="0" applyNumberFormat="0" applyProtection="0">
      <alignment vertical="top"/>
      <protection locked="0"/>
    </xf>
    <xf numFmtId="0" fontId="41" fillId="0" borderId="8" applyAlignment="0"/>
    <xf numFmtId="0" fontId="117" fillId="0" borderId="9" applyNumberFormat="0" applyFill="0" applyAlignment="0" applyProtection="0"/>
    <xf numFmtId="0" fontId="114" fillId="26" borderId="0" applyNumberFormat="0" applyBorder="0" applyAlignment="0" applyProtection="0"/>
    <xf numFmtId="0" fontId="243" fillId="0" borderId="0" applyNumberFormat="0" applyFill="0" applyBorder="0" applyAlignment="0" applyProtection="0"/>
    <xf numFmtId="0" fontId="22" fillId="0" borderId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11" fillId="0" borderId="0"/>
    <xf numFmtId="0" fontId="244" fillId="0" borderId="0"/>
    <xf numFmtId="0" fontId="26" fillId="0" borderId="0"/>
    <xf numFmtId="0" fontId="22" fillId="27" borderId="10" applyNumberFormat="0" applyFont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212" fontId="22" fillId="0" borderId="0" applyFont="0" applyFill="0" applyBorder="0" applyAlignment="0" applyProtection="0"/>
    <xf numFmtId="185" fontId="4" fillId="0" borderId="0" applyFont="0" applyFill="0" applyBorder="0" applyAlignment="0" applyProtection="0"/>
    <xf numFmtId="213" fontId="22" fillId="0" borderId="0" applyFont="0" applyFill="0" applyBorder="0" applyAlignment="0" applyProtection="0"/>
    <xf numFmtId="186" fontId="4" fillId="0" borderId="0" applyFont="0" applyFill="0" applyBorder="0" applyAlignment="0" applyProtection="0"/>
    <xf numFmtId="187" fontId="30" fillId="0" borderId="0" applyFont="0" applyFill="0" applyBorder="0" applyAlignment="0" applyProtection="0"/>
    <xf numFmtId="188" fontId="30" fillId="0" borderId="0" applyFont="0" applyFill="0" applyBorder="0" applyAlignment="0" applyProtection="0"/>
    <xf numFmtId="187" fontId="30" fillId="0" borderId="0" applyFont="0" applyFill="0" applyBorder="0" applyAlignment="0" applyProtection="0"/>
    <xf numFmtId="188" fontId="30" fillId="0" borderId="0" applyFont="0" applyFill="0" applyBorder="0" applyAlignment="0" applyProtection="0"/>
    <xf numFmtId="0" fontId="109" fillId="22" borderId="11" applyNumberFormat="0" applyAlignment="0" applyProtection="0"/>
    <xf numFmtId="0" fontId="42" fillId="24" borderId="0" applyFill="0" applyBorder="0" applyProtection="0">
      <alignment horizontal="center"/>
    </xf>
    <xf numFmtId="0" fontId="43" fillId="0" borderId="0"/>
    <xf numFmtId="0" fontId="245" fillId="0" borderId="0" applyNumberFormat="0">
      <alignment horizontal="left"/>
    </xf>
    <xf numFmtId="0" fontId="43" fillId="0" borderId="0"/>
    <xf numFmtId="0" fontId="44" fillId="0" borderId="0" applyProtection="0"/>
    <xf numFmtId="4" fontId="246" fillId="28" borderId="11" applyNumberFormat="0" applyProtection="0">
      <alignment vertical="center"/>
    </xf>
    <xf numFmtId="4" fontId="247" fillId="28" borderId="11" applyNumberFormat="0" applyProtection="0">
      <alignment vertical="center"/>
    </xf>
    <xf numFmtId="4" fontId="246" fillId="28" borderId="11" applyNumberFormat="0" applyProtection="0">
      <alignment horizontal="left" vertical="center" indent="1"/>
    </xf>
    <xf numFmtId="4" fontId="246" fillId="28" borderId="11" applyNumberFormat="0" applyProtection="0">
      <alignment horizontal="left" vertical="center" indent="1"/>
    </xf>
    <xf numFmtId="0" fontId="32" fillId="29" borderId="11" applyNumberFormat="0" applyProtection="0">
      <alignment horizontal="left" vertical="center" indent="1"/>
    </xf>
    <xf numFmtId="4" fontId="246" fillId="30" borderId="11" applyNumberFormat="0" applyProtection="0">
      <alignment horizontal="right" vertical="center"/>
    </xf>
    <xf numFmtId="4" fontId="246" fillId="31" borderId="11" applyNumberFormat="0" applyProtection="0">
      <alignment horizontal="right" vertical="center"/>
    </xf>
    <xf numFmtId="4" fontId="246" fillId="32" borderId="11" applyNumberFormat="0" applyProtection="0">
      <alignment horizontal="right" vertical="center"/>
    </xf>
    <xf numFmtId="4" fontId="246" fillId="33" borderId="11" applyNumberFormat="0" applyProtection="0">
      <alignment horizontal="right" vertical="center"/>
    </xf>
    <xf numFmtId="4" fontId="246" fillId="34" borderId="11" applyNumberFormat="0" applyProtection="0">
      <alignment horizontal="right" vertical="center"/>
    </xf>
    <xf numFmtId="4" fontId="246" fillId="35" borderId="11" applyNumberFormat="0" applyProtection="0">
      <alignment horizontal="right" vertical="center"/>
    </xf>
    <xf numFmtId="4" fontId="246" fillId="36" borderId="11" applyNumberFormat="0" applyProtection="0">
      <alignment horizontal="right" vertical="center"/>
    </xf>
    <xf numFmtId="4" fontId="246" fillId="37" borderId="11" applyNumberFormat="0" applyProtection="0">
      <alignment horizontal="right" vertical="center"/>
    </xf>
    <xf numFmtId="4" fontId="246" fillId="38" borderId="11" applyNumberFormat="0" applyProtection="0">
      <alignment horizontal="right" vertical="center"/>
    </xf>
    <xf numFmtId="4" fontId="248" fillId="39" borderId="11" applyNumberFormat="0" applyProtection="0">
      <alignment horizontal="left" vertical="center" indent="1"/>
    </xf>
    <xf numFmtId="4" fontId="246" fillId="40" borderId="12" applyNumberFormat="0" applyProtection="0">
      <alignment horizontal="left" vertical="center" indent="1"/>
    </xf>
    <xf numFmtId="4" fontId="249" fillId="41" borderId="0" applyNumberFormat="0" applyProtection="0">
      <alignment horizontal="left" vertical="center" indent="1"/>
    </xf>
    <xf numFmtId="0" fontId="32" fillId="29" borderId="11" applyNumberFormat="0" applyProtection="0">
      <alignment horizontal="left" vertical="center" indent="1"/>
    </xf>
    <xf numFmtId="4" fontId="250" fillId="40" borderId="11" applyNumberFormat="0" applyProtection="0">
      <alignment horizontal="left" vertical="center" indent="1"/>
    </xf>
    <xf numFmtId="4" fontId="250" fillId="42" borderId="11" applyNumberFormat="0" applyProtection="0">
      <alignment horizontal="left" vertical="center" indent="1"/>
    </xf>
    <xf numFmtId="0" fontId="32" fillId="42" borderId="11" applyNumberFormat="0" applyProtection="0">
      <alignment horizontal="left" vertical="center" indent="1"/>
    </xf>
    <xf numFmtId="0" fontId="32" fillId="42" borderId="11" applyNumberFormat="0" applyProtection="0">
      <alignment horizontal="left" vertical="center" indent="1"/>
    </xf>
    <xf numFmtId="0" fontId="32" fillId="43" borderId="11" applyNumberFormat="0" applyProtection="0">
      <alignment horizontal="left" vertical="center" indent="1"/>
    </xf>
    <xf numFmtId="0" fontId="32" fillId="43" borderId="11" applyNumberFormat="0" applyProtection="0">
      <alignment horizontal="left" vertical="center" indent="1"/>
    </xf>
    <xf numFmtId="0" fontId="32" fillId="2" borderId="11" applyNumberFormat="0" applyProtection="0">
      <alignment horizontal="left" vertical="center" indent="1"/>
    </xf>
    <xf numFmtId="0" fontId="32" fillId="2" borderId="11" applyNumberFormat="0" applyProtection="0">
      <alignment horizontal="left" vertical="center" indent="1"/>
    </xf>
    <xf numFmtId="0" fontId="32" fillId="29" borderId="11" applyNumberFormat="0" applyProtection="0">
      <alignment horizontal="left" vertical="center" indent="1"/>
    </xf>
    <xf numFmtId="0" fontId="32" fillId="29" borderId="11" applyNumberFormat="0" applyProtection="0">
      <alignment horizontal="left" vertical="center" indent="1"/>
    </xf>
    <xf numFmtId="0" fontId="22" fillId="0" borderId="0"/>
    <xf numFmtId="4" fontId="246" fillId="44" borderId="11" applyNumberFormat="0" applyProtection="0">
      <alignment vertical="center"/>
    </xf>
    <xf numFmtId="4" fontId="247" fillId="44" borderId="11" applyNumberFormat="0" applyProtection="0">
      <alignment vertical="center"/>
    </xf>
    <xf numFmtId="4" fontId="246" fillId="44" borderId="11" applyNumberFormat="0" applyProtection="0">
      <alignment horizontal="left" vertical="center" indent="1"/>
    </xf>
    <xf numFmtId="4" fontId="246" fillId="44" borderId="11" applyNumberFormat="0" applyProtection="0">
      <alignment horizontal="left" vertical="center" indent="1"/>
    </xf>
    <xf numFmtId="4" fontId="246" fillId="40" borderId="11" applyNumberFormat="0" applyProtection="0">
      <alignment horizontal="right" vertical="center"/>
    </xf>
    <xf numFmtId="4" fontId="247" fillId="40" borderId="11" applyNumberFormat="0" applyProtection="0">
      <alignment horizontal="right" vertical="center"/>
    </xf>
    <xf numFmtId="0" fontId="32" fillId="29" borderId="11" applyNumberFormat="0" applyProtection="0">
      <alignment horizontal="left" vertical="center" indent="1"/>
    </xf>
    <xf numFmtId="0" fontId="32" fillId="29" borderId="11" applyNumberFormat="0" applyProtection="0">
      <alignment horizontal="left" vertical="center" indent="1"/>
    </xf>
    <xf numFmtId="0" fontId="251" fillId="0" borderId="0"/>
    <xf numFmtId="4" fontId="252" fillId="40" borderId="11" applyNumberFormat="0" applyProtection="0">
      <alignment horizontal="right" vertical="center"/>
    </xf>
    <xf numFmtId="0" fontId="32" fillId="0" borderId="0"/>
    <xf numFmtId="0" fontId="27" fillId="0" borderId="0"/>
    <xf numFmtId="203" fontId="161" fillId="45" borderId="0">
      <alignment horizontal="right" vertical="top"/>
    </xf>
    <xf numFmtId="0" fontId="113" fillId="0" borderId="0" applyNumberFormat="0" applyFill="0" applyBorder="0" applyAlignment="0" applyProtection="0"/>
    <xf numFmtId="0" fontId="32" fillId="24" borderId="13" applyNumberFormat="0" applyFont="0" applyFill="0" applyAlignment="0" applyProtection="0"/>
    <xf numFmtId="0" fontId="45" fillId="0" borderId="0"/>
    <xf numFmtId="189" fontId="30" fillId="0" borderId="0" applyFont="0" applyFill="0" applyBorder="0" applyAlignment="0" applyProtection="0"/>
    <xf numFmtId="190" fontId="30" fillId="0" borderId="0" applyFont="0" applyFill="0" applyBorder="0" applyAlignment="0" applyProtection="0"/>
    <xf numFmtId="180" fontId="32" fillId="0" borderId="0" applyFont="0" applyFill="0" applyBorder="0" applyAlignment="0" applyProtection="0"/>
    <xf numFmtId="0" fontId="45" fillId="0" borderId="0"/>
    <xf numFmtId="0" fontId="118" fillId="0" borderId="0" applyNumberFormat="0" applyFill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8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19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20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5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16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0" fontId="107" fillId="21" borderId="0" applyNumberFormat="0" applyBorder="0" applyAlignment="0" applyProtection="0"/>
    <xf numFmtId="207" fontId="17" fillId="0" borderId="2">
      <protection locked="0"/>
    </xf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8" fillId="9" borderId="3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09" fillId="22" borderId="11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110" fillId="22" borderId="3" applyNumberFormat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253" fillId="0" borderId="0" applyNumberFormat="0" applyFill="0" applyBorder="0" applyAlignment="0" applyProtection="0">
      <alignment vertical="top"/>
      <protection locked="0"/>
    </xf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0" fontId="24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44" fontId="46" fillId="0" borderId="0" applyFont="0" applyFill="0" applyBorder="0" applyAlignment="0" applyProtection="0"/>
    <xf numFmtId="0" fontId="103" fillId="0" borderId="0" applyBorder="0">
      <alignment horizontal="center" vertical="center" wrapText="1"/>
    </xf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8" fillId="0" borderId="14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59" fillId="0" borderId="15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7" applyNumberFormat="0" applyFill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03" fillId="0" borderId="0" applyBorder="0">
      <alignment horizontal="center" vertical="center" wrapText="1"/>
    </xf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4" fillId="0" borderId="16" applyBorder="0">
      <alignment horizontal="center" vertical="center" wrapText="1"/>
    </xf>
    <xf numFmtId="207" fontId="233" fillId="25" borderId="2"/>
    <xf numFmtId="4" fontId="105" fillId="28" borderId="17" applyBorder="0">
      <alignment horizontal="right"/>
    </xf>
    <xf numFmtId="49" fontId="126" fillId="0" borderId="0" applyBorder="0">
      <alignment vertical="center"/>
    </xf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0" fontId="160" fillId="0" borderId="18" applyNumberFormat="0" applyFill="0" applyAlignment="0" applyProtection="0"/>
    <xf numFmtId="3" fontId="233" fillId="0" borderId="17" applyBorder="0">
      <alignment vertical="center"/>
    </xf>
    <xf numFmtId="0" fontId="243" fillId="0" borderId="1" applyNumberFormat="0" applyFill="0" applyAlignment="0" applyProtection="0"/>
    <xf numFmtId="0" fontId="243" fillId="0" borderId="1" applyNumberFormat="0" applyFill="0" applyAlignment="0" applyProtection="0"/>
    <xf numFmtId="0" fontId="243" fillId="0" borderId="1" applyNumberFormat="0" applyFill="0" applyAlignment="0" applyProtection="0"/>
    <xf numFmtId="0" fontId="243" fillId="0" borderId="1" applyNumberFormat="0" applyFill="0" applyAlignment="0" applyProtection="0"/>
    <xf numFmtId="0" fontId="243" fillId="0" borderId="1" applyNumberFormat="0" applyFill="0" applyAlignment="0" applyProtection="0"/>
    <xf numFmtId="0" fontId="243" fillId="0" borderId="1" applyNumberFormat="0" applyFill="0" applyAlignment="0" applyProtection="0"/>
    <xf numFmtId="0" fontId="243" fillId="0" borderId="1" applyNumberFormat="0" applyFill="0" applyAlignment="0" applyProtection="0"/>
    <xf numFmtId="0" fontId="243" fillId="0" borderId="1" applyNumberFormat="0" applyFill="0" applyAlignment="0" applyProtection="0"/>
    <xf numFmtId="0" fontId="243" fillId="0" borderId="1" applyNumberFormat="0" applyFill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112" fillId="23" borderId="4" applyNumberFormat="0" applyAlignment="0" applyProtection="0"/>
    <xf numFmtId="0" fontId="30" fillId="0" borderId="0">
      <alignment vertical="center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243" fillId="3" borderId="0" applyFill="0">
      <alignment wrapText="1"/>
    </xf>
    <xf numFmtId="0" fontId="36" fillId="0" borderId="0">
      <alignment horizontal="center" vertical="top" wrapText="1"/>
    </xf>
    <xf numFmtId="0" fontId="147" fillId="0" borderId="0">
      <alignment horizontal="centerContinuous" vertical="center" wrapText="1"/>
    </xf>
    <xf numFmtId="169" fontId="65" fillId="3" borderId="17">
      <alignment wrapText="1"/>
    </xf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0" fontId="114" fillId="26" borderId="0" applyNumberFormat="0" applyBorder="0" applyAlignment="0" applyProtection="0"/>
    <xf numFmtId="49" fontId="105" fillId="0" borderId="0" applyBorder="0">
      <alignment vertical="top"/>
    </xf>
    <xf numFmtId="0" fontId="254" fillId="0" borderId="0"/>
    <xf numFmtId="0" fontId="32" fillId="0" borderId="0"/>
    <xf numFmtId="0" fontId="261" fillId="0" borderId="0"/>
    <xf numFmtId="0" fontId="22" fillId="0" borderId="0"/>
    <xf numFmtId="0" fontId="4" fillId="0" borderId="0"/>
    <xf numFmtId="0" fontId="46" fillId="0" borderId="0"/>
    <xf numFmtId="0" fontId="32" fillId="0" borderId="0"/>
    <xf numFmtId="0" fontId="22" fillId="0" borderId="0"/>
    <xf numFmtId="0" fontId="22" fillId="0" borderId="0"/>
    <xf numFmtId="0" fontId="106" fillId="0" borderId="0"/>
    <xf numFmtId="0" fontId="22" fillId="0" borderId="0"/>
    <xf numFmtId="0" fontId="106" fillId="0" borderId="0"/>
    <xf numFmtId="0" fontId="106" fillId="0" borderId="0"/>
    <xf numFmtId="0" fontId="17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255" fillId="0" borderId="0"/>
    <xf numFmtId="0" fontId="106" fillId="0" borderId="0"/>
    <xf numFmtId="0" fontId="22" fillId="0" borderId="0"/>
    <xf numFmtId="0" fontId="32" fillId="0" borderId="0"/>
    <xf numFmtId="0" fontId="32" fillId="0" borderId="0"/>
    <xf numFmtId="0" fontId="22" fillId="0" borderId="0"/>
    <xf numFmtId="0" fontId="32" fillId="0" borderId="0"/>
    <xf numFmtId="0" fontId="46" fillId="0" borderId="0"/>
    <xf numFmtId="0" fontId="261" fillId="0" borderId="0"/>
    <xf numFmtId="0" fontId="2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7" fillId="0" borderId="0"/>
    <xf numFmtId="0" fontId="261" fillId="0" borderId="0"/>
    <xf numFmtId="0" fontId="261" fillId="0" borderId="0"/>
    <xf numFmtId="0" fontId="22" fillId="0" borderId="0"/>
    <xf numFmtId="0" fontId="22" fillId="0" borderId="0"/>
    <xf numFmtId="4" fontId="95" fillId="0" borderId="0">
      <alignment vertical="center"/>
    </xf>
    <xf numFmtId="0" fontId="22" fillId="0" borderId="0"/>
    <xf numFmtId="0" fontId="257" fillId="0" borderId="0"/>
    <xf numFmtId="0" fontId="46" fillId="0" borderId="0"/>
    <xf numFmtId="0" fontId="46" fillId="0" borderId="0"/>
    <xf numFmtId="0" fontId="95" fillId="0" borderId="0"/>
    <xf numFmtId="0" fontId="22" fillId="0" borderId="0"/>
    <xf numFmtId="0" fontId="47" fillId="0" borderId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115" fillId="5" borderId="0" applyNumberFormat="0" applyBorder="0" applyAlignment="0" applyProtection="0"/>
    <xf numFmtId="0" fontId="22" fillId="0" borderId="0" applyFont="0" applyFill="0" applyBorder="0" applyProtection="0">
      <alignment horizontal="center" vertical="center" wrapText="1"/>
    </xf>
    <xf numFmtId="0" fontId="22" fillId="0" borderId="0" applyNumberFormat="0" applyFont="0" applyFill="0" applyBorder="0" applyProtection="0">
      <alignment horizontal="justify" vertical="center" wrapText="1"/>
    </xf>
    <xf numFmtId="164" fontId="256" fillId="28" borderId="19" applyNumberFormat="0" applyBorder="0" applyAlignment="0">
      <alignment vertical="center"/>
      <protection locked="0"/>
    </xf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22" fillId="27" borderId="10" applyNumberFormat="0" applyFont="0" applyAlignment="0" applyProtection="0"/>
    <xf numFmtId="0" fontId="22" fillId="27" borderId="10" applyNumberFormat="0" applyFont="0" applyAlignment="0" applyProtection="0"/>
    <xf numFmtId="0" fontId="22" fillId="27" borderId="10" applyNumberFormat="0" applyFont="0" applyAlignment="0" applyProtection="0"/>
    <xf numFmtId="0" fontId="22" fillId="27" borderId="10" applyNumberFormat="0" applyFont="0" applyAlignment="0" applyProtection="0"/>
    <xf numFmtId="0" fontId="22" fillId="27" borderId="10" applyNumberFormat="0" applyFont="0" applyAlignment="0" applyProtection="0"/>
    <xf numFmtId="0" fontId="22" fillId="27" borderId="10" applyNumberFormat="0" applyFont="0" applyAlignment="0" applyProtection="0"/>
    <xf numFmtId="0" fontId="22" fillId="27" borderId="10" applyNumberFormat="0" applyFont="0" applyAlignment="0" applyProtection="0"/>
    <xf numFmtId="0" fontId="22" fillId="27" borderId="10" applyNumberFormat="0" applyFont="0" applyAlignment="0" applyProtection="0"/>
    <xf numFmtId="0" fontId="2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0" fontId="32" fillId="27" borderId="10" applyNumberFormat="0" applyFont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117" fillId="0" borderId="9" applyNumberFormat="0" applyFill="0" applyAlignment="0" applyProtection="0"/>
    <xf numFmtId="0" fontId="26" fillId="0" borderId="0"/>
    <xf numFmtId="203" fontId="42" fillId="0" borderId="0">
      <alignment vertical="top"/>
    </xf>
    <xf numFmtId="0" fontId="22" fillId="0" borderId="0">
      <alignment vertical="justify"/>
    </xf>
    <xf numFmtId="0" fontId="22" fillId="46" borderId="17" applyNumberFormat="0" applyAlignment="0">
      <alignment horizontal="left"/>
    </xf>
    <xf numFmtId="0" fontId="22" fillId="46" borderId="17" applyNumberFormat="0" applyAlignment="0">
      <alignment horizontal="left"/>
    </xf>
    <xf numFmtId="164" fontId="243" fillId="0" borderId="0" applyFill="0" applyBorder="0" applyAlignment="0" applyProtection="0"/>
    <xf numFmtId="164" fontId="243" fillId="0" borderId="0" applyFill="0" applyBorder="0" applyAlignment="0" applyProtection="0"/>
    <xf numFmtId="164" fontId="243" fillId="0" borderId="0" applyFill="0" applyBorder="0" applyAlignment="0" applyProtection="0"/>
    <xf numFmtId="164" fontId="243" fillId="0" borderId="0" applyFill="0" applyBorder="0" applyAlignment="0" applyProtection="0"/>
    <xf numFmtId="164" fontId="243" fillId="0" borderId="0" applyFill="0" applyBorder="0" applyAlignment="0" applyProtection="0"/>
    <xf numFmtId="164" fontId="243" fillId="0" borderId="0" applyFill="0" applyBorder="0" applyAlignment="0" applyProtection="0"/>
    <xf numFmtId="164" fontId="243" fillId="0" borderId="0" applyFill="0" applyBorder="0" applyAlignment="0" applyProtection="0"/>
    <xf numFmtId="164" fontId="243" fillId="0" borderId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49" fontId="243" fillId="0" borderId="0">
      <alignment horizontal="center"/>
    </xf>
    <xf numFmtId="49" fontId="243" fillId="0" borderId="0">
      <alignment horizontal="center"/>
    </xf>
    <xf numFmtId="49" fontId="243" fillId="0" borderId="0">
      <alignment horizontal="center"/>
    </xf>
    <xf numFmtId="49" fontId="243" fillId="0" borderId="0">
      <alignment horizontal="center"/>
    </xf>
    <xf numFmtId="49" fontId="243" fillId="0" borderId="0">
      <alignment horizontal="center"/>
    </xf>
    <xf numFmtId="49" fontId="243" fillId="0" borderId="0">
      <alignment horizontal="center"/>
    </xf>
    <xf numFmtId="49" fontId="243" fillId="0" borderId="0">
      <alignment horizontal="center"/>
    </xf>
    <xf numFmtId="49" fontId="243" fillId="0" borderId="0">
      <alignment horizontal="center"/>
    </xf>
    <xf numFmtId="49" fontId="243" fillId="0" borderId="0">
      <alignment horizontal="center"/>
    </xf>
    <xf numFmtId="191" fontId="22" fillId="0" borderId="0" applyFont="0" applyFill="0" applyBorder="0" applyAlignment="0" applyProtection="0"/>
    <xf numFmtId="3" fontId="14" fillId="0" borderId="20" applyFont="0" applyBorder="0">
      <alignment horizontal="right"/>
      <protection locked="0"/>
    </xf>
    <xf numFmtId="192" fontId="22" fillId="0" borderId="0" applyFont="0" applyFill="0" applyBorder="0" applyAlignment="0" applyProtection="0"/>
    <xf numFmtId="2" fontId="243" fillId="0" borderId="0" applyFill="0" applyBorder="0" applyAlignment="0" applyProtection="0"/>
    <xf numFmtId="2" fontId="243" fillId="0" borderId="0" applyFill="0" applyBorder="0" applyAlignment="0" applyProtection="0"/>
    <xf numFmtId="2" fontId="243" fillId="0" borderId="0" applyFill="0" applyBorder="0" applyAlignment="0" applyProtection="0"/>
    <xf numFmtId="2" fontId="243" fillId="0" borderId="0" applyFill="0" applyBorder="0" applyAlignment="0" applyProtection="0"/>
    <xf numFmtId="2" fontId="243" fillId="0" borderId="0" applyFill="0" applyBorder="0" applyAlignment="0" applyProtection="0"/>
    <xf numFmtId="2" fontId="243" fillId="0" borderId="0" applyFill="0" applyBorder="0" applyAlignment="0" applyProtection="0"/>
    <xf numFmtId="2" fontId="243" fillId="0" borderId="0" applyFill="0" applyBorder="0" applyAlignment="0" applyProtection="0"/>
    <xf numFmtId="2" fontId="243" fillId="0" borderId="0" applyFill="0" applyBorder="0" applyAlignment="0" applyProtection="0"/>
    <xf numFmtId="2" fontId="243" fillId="0" borderId="0" applyFill="0" applyBorder="0" applyAlignment="0" applyProtection="0"/>
    <xf numFmtId="43" fontId="46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214" fontId="106" fillId="0" borderId="0" applyFont="0" applyFill="0" applyBorder="0" applyAlignment="0" applyProtection="0"/>
    <xf numFmtId="43" fontId="16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62" fillId="0" borderId="0" applyFont="0" applyFill="0" applyBorder="0" applyAlignment="0" applyProtection="0"/>
    <xf numFmtId="43" fontId="22" fillId="0" borderId="0" applyFont="0" applyFill="0" applyBorder="0" applyAlignment="0" applyProtection="0"/>
    <xf numFmtId="4" fontId="105" fillId="3" borderId="0" applyBorder="0">
      <alignment horizontal="right"/>
    </xf>
    <xf numFmtId="4" fontId="105" fillId="3" borderId="0" applyBorder="0">
      <alignment horizontal="right"/>
    </xf>
    <xf numFmtId="4" fontId="105" fillId="3" borderId="0" applyBorder="0">
      <alignment horizontal="right"/>
    </xf>
    <xf numFmtId="4" fontId="105" fillId="47" borderId="21" applyBorder="0">
      <alignment horizontal="right"/>
    </xf>
    <xf numFmtId="4" fontId="105" fillId="3" borderId="17" applyFont="0" applyBorder="0">
      <alignment horizontal="right"/>
    </xf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0" fontId="119" fillId="6" borderId="0" applyNumberFormat="0" applyBorder="0" applyAlignment="0" applyProtection="0"/>
    <xf numFmtId="170" fontId="22" fillId="0" borderId="17" applyFont="0" applyFill="0" applyBorder="0" applyProtection="0">
      <alignment horizontal="center" vertical="center"/>
    </xf>
    <xf numFmtId="0" fontId="28" fillId="0" borderId="0">
      <protection locked="0"/>
    </xf>
    <xf numFmtId="0" fontId="17" fillId="0" borderId="17" applyBorder="0">
      <alignment horizontal="center" vertical="center" wrapText="1"/>
    </xf>
    <xf numFmtId="43" fontId="4" fillId="0" borderId="0" applyFont="0" applyFill="0" applyBorder="0" applyAlignment="0" applyProtection="0"/>
    <xf numFmtId="0" fontId="4" fillId="0" borderId="0"/>
    <xf numFmtId="0" fontId="26" fillId="0" borderId="0"/>
    <xf numFmtId="0" fontId="4" fillId="0" borderId="0"/>
    <xf numFmtId="0" fontId="4" fillId="0" borderId="0"/>
    <xf numFmtId="0" fontId="3" fillId="0" borderId="0"/>
    <xf numFmtId="9" fontId="4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</cellStyleXfs>
  <cellXfs count="2037">
    <xf numFmtId="0" fontId="0" fillId="0" borderId="0" xfId="0"/>
    <xf numFmtId="0" fontId="8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5" xfId="0" applyFont="1" applyBorder="1" applyAlignment="1">
      <alignment vertical="top" wrapText="1"/>
    </xf>
    <xf numFmtId="0" fontId="8" fillId="0" borderId="0" xfId="0" applyFont="1"/>
    <xf numFmtId="0" fontId="8" fillId="0" borderId="0" xfId="0" applyFont="1" applyAlignment="1">
      <alignment horizontal="right"/>
    </xf>
    <xf numFmtId="0" fontId="8" fillId="0" borderId="23" xfId="0" applyFont="1" applyBorder="1" applyAlignment="1">
      <alignment horizontal="center" vertical="top" wrapText="1"/>
    </xf>
    <xf numFmtId="0" fontId="8" fillId="0" borderId="22" xfId="0" applyFont="1" applyBorder="1" applyAlignment="1">
      <alignment horizontal="center" vertical="top" wrapText="1"/>
    </xf>
    <xf numFmtId="0" fontId="8" fillId="0" borderId="25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center" vertical="top" wrapText="1"/>
    </xf>
    <xf numFmtId="0" fontId="8" fillId="0" borderId="0" xfId="0" applyFont="1" applyAlignment="1">
      <alignment horizontal="justify"/>
    </xf>
    <xf numFmtId="0" fontId="8" fillId="0" borderId="20" xfId="0" applyFont="1" applyBorder="1" applyAlignment="1">
      <alignment horizontal="center" vertical="top" wrapText="1"/>
    </xf>
    <xf numFmtId="0" fontId="8" fillId="0" borderId="17" xfId="0" applyFont="1" applyBorder="1"/>
    <xf numFmtId="0" fontId="10" fillId="0" borderId="0" xfId="0" applyFont="1"/>
    <xf numFmtId="0" fontId="8" fillId="0" borderId="0" xfId="0" applyFont="1" applyAlignment="1">
      <alignment horizontal="left"/>
    </xf>
    <xf numFmtId="1" fontId="8" fillId="0" borderId="0" xfId="0" applyNumberFormat="1" applyFont="1"/>
    <xf numFmtId="0" fontId="8" fillId="0" borderId="0" xfId="0" applyFont="1" applyBorder="1"/>
    <xf numFmtId="0" fontId="8" fillId="0" borderId="17" xfId="0" applyFont="1" applyBorder="1" applyAlignment="1">
      <alignment horizontal="center" wrapText="1"/>
    </xf>
    <xf numFmtId="164" fontId="8" fillId="0" borderId="0" xfId="0" applyNumberFormat="1" applyFont="1"/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17" fontId="8" fillId="0" borderId="0" xfId="0" applyNumberFormat="1" applyFont="1" applyBorder="1" applyAlignment="1">
      <alignment horizontal="center" vertical="center" wrapText="1"/>
    </xf>
    <xf numFmtId="0" fontId="15" fillId="0" borderId="0" xfId="0" applyFont="1"/>
    <xf numFmtId="0" fontId="15" fillId="0" borderId="0" xfId="0" applyFont="1" applyAlignment="1">
      <alignment horizontal="center"/>
    </xf>
    <xf numFmtId="0" fontId="15" fillId="0" borderId="17" xfId="0" applyFont="1" applyBorder="1"/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 vertical="center"/>
    </xf>
    <xf numFmtId="2" fontId="8" fillId="0" borderId="0" xfId="0" applyNumberFormat="1" applyFont="1" applyBorder="1" applyAlignment="1">
      <alignment horizontal="center"/>
    </xf>
    <xf numFmtId="2" fontId="8" fillId="0" borderId="0" xfId="0" applyNumberFormat="1" applyFont="1"/>
    <xf numFmtId="168" fontId="15" fillId="0" borderId="0" xfId="0" applyNumberFormat="1" applyFont="1"/>
    <xf numFmtId="168" fontId="8" fillId="0" borderId="0" xfId="0" applyNumberFormat="1" applyFont="1"/>
    <xf numFmtId="0" fontId="18" fillId="0" borderId="0" xfId="0" applyFont="1" applyAlignment="1">
      <alignment horizontal="center"/>
    </xf>
    <xf numFmtId="0" fontId="13" fillId="0" borderId="0" xfId="0" applyFont="1"/>
    <xf numFmtId="166" fontId="8" fillId="0" borderId="0" xfId="0" applyNumberFormat="1" applyFont="1"/>
    <xf numFmtId="0" fontId="10" fillId="0" borderId="0" xfId="0" applyFont="1" applyBorder="1"/>
    <xf numFmtId="0" fontId="10" fillId="0" borderId="17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center" vertical="top"/>
    </xf>
    <xf numFmtId="0" fontId="18" fillId="0" borderId="24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20" fillId="0" borderId="0" xfId="0" applyFont="1" applyAlignment="1">
      <alignment horizontal="left"/>
    </xf>
    <xf numFmtId="0" fontId="21" fillId="0" borderId="0" xfId="0" applyFont="1" applyFill="1" applyBorder="1" applyAlignment="1">
      <alignment horizontal="center"/>
    </xf>
    <xf numFmtId="0" fontId="18" fillId="0" borderId="0" xfId="0" applyFont="1" applyAlignment="1">
      <alignment horizontal="centerContinuous"/>
    </xf>
    <xf numFmtId="0" fontId="16" fillId="46" borderId="0" xfId="0" applyFont="1" applyFill="1"/>
    <xf numFmtId="0" fontId="10" fillId="0" borderId="0" xfId="0" applyFont="1" applyAlignment="1">
      <alignment horizontal="right"/>
    </xf>
    <xf numFmtId="0" fontId="8" fillId="0" borderId="0" xfId="0" applyFont="1" applyAlignment="1">
      <alignment horizontal="centerContinuous" vertical="center" wrapText="1"/>
    </xf>
    <xf numFmtId="173" fontId="15" fillId="46" borderId="17" xfId="1216" applyNumberFormat="1" applyFont="1" applyFill="1" applyBorder="1" applyAlignment="1">
      <alignment horizontal="right" wrapText="1"/>
    </xf>
    <xf numFmtId="0" fontId="50" fillId="0" borderId="0" xfId="0" applyFont="1"/>
    <xf numFmtId="194" fontId="15" fillId="46" borderId="17" xfId="1216" applyNumberFormat="1" applyFont="1" applyFill="1" applyBorder="1" applyAlignment="1">
      <alignment horizontal="right" wrapText="1"/>
    </xf>
    <xf numFmtId="0" fontId="48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9" fillId="46" borderId="0" xfId="0" applyFont="1" applyFill="1"/>
    <xf numFmtId="0" fontId="8" fillId="0" borderId="25" xfId="0" applyFont="1" applyBorder="1" applyAlignment="1">
      <alignment wrapText="1"/>
    </xf>
    <xf numFmtId="0" fontId="10" fillId="0" borderId="0" xfId="0" applyFont="1" applyAlignment="1">
      <alignment horizontal="centerContinuous" wrapText="1"/>
    </xf>
    <xf numFmtId="0" fontId="54" fillId="0" borderId="0" xfId="0" applyFont="1"/>
    <xf numFmtId="0" fontId="10" fillId="0" borderId="0" xfId="0" applyFont="1" applyAlignment="1">
      <alignment horizontal="centerContinuous"/>
    </xf>
    <xf numFmtId="0" fontId="10" fillId="0" borderId="17" xfId="0" applyFont="1" applyBorder="1" applyAlignment="1">
      <alignment horizontal="centerContinuous" vertical="top" wrapText="1"/>
    </xf>
    <xf numFmtId="0" fontId="46" fillId="0" borderId="0" xfId="1176"/>
    <xf numFmtId="0" fontId="60" fillId="0" borderId="0" xfId="1176" applyFont="1"/>
    <xf numFmtId="0" fontId="62" fillId="0" borderId="0" xfId="1176" applyFont="1" applyAlignment="1">
      <alignment horizontal="centerContinuous" wrapText="1"/>
    </xf>
    <xf numFmtId="0" fontId="62" fillId="0" borderId="0" xfId="1176" applyFont="1" applyAlignment="1">
      <alignment horizontal="center"/>
    </xf>
    <xf numFmtId="0" fontId="64" fillId="0" borderId="0" xfId="1176" applyFont="1"/>
    <xf numFmtId="0" fontId="59" fillId="0" borderId="0" xfId="1176" applyFont="1"/>
    <xf numFmtId="173" fontId="8" fillId="46" borderId="17" xfId="1216" applyNumberFormat="1" applyFont="1" applyFill="1" applyBorder="1" applyAlignment="1">
      <alignment horizontal="right" wrapText="1"/>
    </xf>
    <xf numFmtId="194" fontId="8" fillId="0" borderId="0" xfId="0" applyNumberFormat="1" applyFont="1"/>
    <xf numFmtId="0" fontId="73" fillId="0" borderId="0" xfId="0" applyFont="1" applyAlignment="1">
      <alignment horizontal="center" wrapText="1"/>
    </xf>
    <xf numFmtId="3" fontId="73" fillId="0" borderId="0" xfId="0" applyNumberFormat="1" applyFont="1" applyAlignment="1">
      <alignment horizontal="center" wrapText="1"/>
    </xf>
    <xf numFmtId="170" fontId="8" fillId="46" borderId="25" xfId="0" applyNumberFormat="1" applyFont="1" applyFill="1" applyBorder="1" applyAlignment="1">
      <alignment wrapText="1"/>
    </xf>
    <xf numFmtId="164" fontId="8" fillId="46" borderId="25" xfId="0" applyNumberFormat="1" applyFont="1" applyFill="1" applyBorder="1" applyAlignment="1">
      <alignment wrapText="1"/>
    </xf>
    <xf numFmtId="170" fontId="15" fillId="0" borderId="0" xfId="0" applyNumberFormat="1" applyFont="1"/>
    <xf numFmtId="0" fontId="15" fillId="46" borderId="17" xfId="0" applyFont="1" applyFill="1" applyBorder="1" applyAlignment="1">
      <alignment wrapText="1"/>
    </xf>
    <xf numFmtId="170" fontId="8" fillId="0" borderId="0" xfId="0" applyNumberFormat="1" applyFont="1"/>
    <xf numFmtId="0" fontId="46" fillId="0" borderId="0" xfId="1176" applyFont="1"/>
    <xf numFmtId="0" fontId="59" fillId="0" borderId="0" xfId="1176" applyFont="1" applyAlignment="1">
      <alignment horizontal="center" vertical="top" wrapText="1"/>
    </xf>
    <xf numFmtId="0" fontId="63" fillId="0" borderId="0" xfId="1176" applyFont="1"/>
    <xf numFmtId="0" fontId="50" fillId="0" borderId="17" xfId="1176" applyFont="1" applyBorder="1" applyAlignment="1">
      <alignment horizontal="left" wrapText="1"/>
    </xf>
    <xf numFmtId="49" fontId="21" fillId="0" borderId="0" xfId="1176" applyNumberFormat="1" applyFont="1" applyFill="1" applyBorder="1" applyAlignment="1"/>
    <xf numFmtId="0" fontId="21" fillId="0" borderId="0" xfId="1176" applyFont="1"/>
    <xf numFmtId="0" fontId="10" fillId="46" borderId="0" xfId="0" applyFont="1" applyFill="1"/>
    <xf numFmtId="0" fontId="50" fillId="0" borderId="17" xfId="0" applyFont="1" applyBorder="1" applyAlignment="1">
      <alignment horizontal="center" vertical="top" wrapText="1"/>
    </xf>
    <xf numFmtId="0" fontId="61" fillId="0" borderId="0" xfId="0" applyFont="1" applyAlignment="1">
      <alignment horizontal="center"/>
    </xf>
    <xf numFmtId="0" fontId="12" fillId="0" borderId="17" xfId="0" applyFont="1" applyBorder="1" applyAlignment="1">
      <alignment horizontal="center" vertical="top" wrapText="1"/>
    </xf>
    <xf numFmtId="0" fontId="75" fillId="0" borderId="23" xfId="0" applyFont="1" applyBorder="1" applyAlignment="1">
      <alignment horizontal="centerContinuous" vertical="top"/>
    </xf>
    <xf numFmtId="0" fontId="75" fillId="0" borderId="23" xfId="0" applyFont="1" applyBorder="1" applyAlignment="1">
      <alignment horizontal="centerContinuous" vertical="top" wrapText="1"/>
    </xf>
    <xf numFmtId="0" fontId="75" fillId="0" borderId="17" xfId="0" applyFont="1" applyBorder="1" applyAlignment="1">
      <alignment horizontal="centerContinuous" vertical="top" wrapText="1"/>
    </xf>
    <xf numFmtId="0" fontId="10" fillId="46" borderId="17" xfId="1211" applyFont="1" applyFill="1" applyBorder="1" applyAlignment="1">
      <alignment vertical="center" wrapText="1"/>
    </xf>
    <xf numFmtId="0" fontId="50" fillId="46" borderId="17" xfId="1211" applyFont="1" applyFill="1" applyBorder="1" applyAlignment="1">
      <alignment horizontal="center" vertical="center" wrapText="1"/>
    </xf>
    <xf numFmtId="173" fontId="10" fillId="46" borderId="17" xfId="1216" applyNumberFormat="1" applyFont="1" applyFill="1" applyBorder="1" applyAlignment="1">
      <alignment horizontal="right" vertical="center" wrapText="1"/>
    </xf>
    <xf numFmtId="0" fontId="10" fillId="46" borderId="0" xfId="0" applyFont="1" applyFill="1" applyBorder="1"/>
    <xf numFmtId="0" fontId="48" fillId="28" borderId="17" xfId="0" applyFont="1" applyFill="1" applyBorder="1" applyAlignment="1">
      <alignment vertical="center"/>
    </xf>
    <xf numFmtId="170" fontId="48" fillId="28" borderId="17" xfId="0" applyNumberFormat="1" applyFont="1" applyFill="1" applyBorder="1" applyAlignment="1">
      <alignment vertical="center"/>
    </xf>
    <xf numFmtId="0" fontId="48" fillId="46" borderId="0" xfId="0" applyFont="1" applyFill="1"/>
    <xf numFmtId="170" fontId="50" fillId="46" borderId="0" xfId="0" applyNumberFormat="1" applyFont="1" applyFill="1"/>
    <xf numFmtId="170" fontId="50" fillId="46" borderId="0" xfId="0" applyNumberFormat="1" applyFont="1" applyFill="1" applyAlignment="1">
      <alignment horizontal="right"/>
    </xf>
    <xf numFmtId="0" fontId="50" fillId="46" borderId="0" xfId="0" applyFont="1" applyFill="1"/>
    <xf numFmtId="0" fontId="10" fillId="0" borderId="0" xfId="0" applyFont="1" applyFill="1"/>
    <xf numFmtId="164" fontId="54" fillId="0" borderId="0" xfId="0" applyNumberFormat="1" applyFont="1"/>
    <xf numFmtId="0" fontId="10" fillId="48" borderId="0" xfId="0" applyFont="1" applyFill="1"/>
    <xf numFmtId="0" fontId="8" fillId="46" borderId="0" xfId="0" applyFont="1" applyFill="1"/>
    <xf numFmtId="0" fontId="8" fillId="46" borderId="25" xfId="0" applyFont="1" applyFill="1" applyBorder="1" applyAlignment="1">
      <alignment vertical="top" wrapText="1"/>
    </xf>
    <xf numFmtId="3" fontId="164" fillId="0" borderId="0" xfId="0" applyNumberFormat="1" applyFont="1"/>
    <xf numFmtId="0" fontId="164" fillId="0" borderId="0" xfId="0" applyFont="1"/>
    <xf numFmtId="0" fontId="13" fillId="44" borderId="40" xfId="0" applyFont="1" applyFill="1" applyBorder="1" applyAlignment="1">
      <alignment horizontal="centerContinuous"/>
    </xf>
    <xf numFmtId="0" fontId="8" fillId="44" borderId="41" xfId="0" applyFont="1" applyFill="1" applyBorder="1" applyAlignment="1">
      <alignment horizontal="centerContinuous"/>
    </xf>
    <xf numFmtId="0" fontId="8" fillId="44" borderId="42" xfId="0" applyFont="1" applyFill="1" applyBorder="1" applyAlignment="1">
      <alignment horizontal="centerContinuous"/>
    </xf>
    <xf numFmtId="0" fontId="8" fillId="44" borderId="24" xfId="0" applyFont="1" applyFill="1" applyBorder="1"/>
    <xf numFmtId="10" fontId="8" fillId="44" borderId="39" xfId="0" applyNumberFormat="1" applyFont="1" applyFill="1" applyBorder="1" applyAlignment="1"/>
    <xf numFmtId="0" fontId="8" fillId="44" borderId="43" xfId="0" applyFont="1" applyFill="1" applyBorder="1"/>
    <xf numFmtId="169" fontId="8" fillId="44" borderId="44" xfId="0" applyNumberFormat="1" applyFont="1" applyFill="1" applyBorder="1" applyAlignment="1">
      <alignment horizontal="left"/>
    </xf>
    <xf numFmtId="49" fontId="164" fillId="44" borderId="44" xfId="0" applyNumberFormat="1" applyFont="1" applyFill="1" applyBorder="1" applyAlignment="1">
      <alignment horizontal="right"/>
    </xf>
    <xf numFmtId="169" fontId="164" fillId="44" borderId="44" xfId="0" applyNumberFormat="1" applyFont="1" applyFill="1" applyBorder="1" applyAlignment="1">
      <alignment horizontal="left"/>
    </xf>
    <xf numFmtId="0" fontId="8" fillId="44" borderId="45" xfId="0" applyFont="1" applyFill="1" applyBorder="1"/>
    <xf numFmtId="0" fontId="165" fillId="46" borderId="0" xfId="0" applyFont="1" applyFill="1" applyAlignment="1">
      <alignment horizontal="left"/>
    </xf>
    <xf numFmtId="0" fontId="166" fillId="46" borderId="0" xfId="0" applyFont="1" applyFill="1" applyAlignment="1">
      <alignment horizontal="left"/>
    </xf>
    <xf numFmtId="0" fontId="8" fillId="0" borderId="24" xfId="0" applyFont="1" applyBorder="1"/>
    <xf numFmtId="0" fontId="164" fillId="46" borderId="0" xfId="0" applyFont="1" applyFill="1" applyAlignment="1">
      <alignment horizontal="right"/>
    </xf>
    <xf numFmtId="4" fontId="164" fillId="46" borderId="0" xfId="0" applyNumberFormat="1" applyFont="1" applyFill="1" applyAlignment="1">
      <alignment horizontal="left"/>
    </xf>
    <xf numFmtId="0" fontId="164" fillId="46" borderId="0" xfId="0" applyFont="1" applyFill="1" applyAlignment="1">
      <alignment horizontal="left"/>
    </xf>
    <xf numFmtId="0" fontId="165" fillId="46" borderId="17" xfId="0" applyFont="1" applyFill="1" applyBorder="1" applyAlignment="1">
      <alignment horizontal="center" vertical="center" wrapText="1"/>
    </xf>
    <xf numFmtId="0" fontId="165" fillId="46" borderId="33" xfId="0" applyFont="1" applyFill="1" applyBorder="1" applyAlignment="1">
      <alignment horizontal="center" vertical="center" wrapText="1"/>
    </xf>
    <xf numFmtId="4" fontId="165" fillId="3" borderId="17" xfId="0" applyNumberFormat="1" applyFont="1" applyFill="1" applyBorder="1" applyAlignment="1">
      <alignment horizontal="center" vertical="top" wrapText="1"/>
    </xf>
    <xf numFmtId="4" fontId="167" fillId="49" borderId="17" xfId="0" applyNumberFormat="1" applyFont="1" applyFill="1" applyBorder="1" applyAlignment="1">
      <alignment horizontal="center" wrapText="1"/>
    </xf>
    <xf numFmtId="4" fontId="165" fillId="46" borderId="17" xfId="0" applyNumberFormat="1" applyFont="1" applyFill="1" applyBorder="1" applyAlignment="1">
      <alignment horizontal="center"/>
    </xf>
    <xf numFmtId="4" fontId="165" fillId="46" borderId="26" xfId="0" applyNumberFormat="1" applyFont="1" applyFill="1" applyBorder="1" applyAlignment="1">
      <alignment horizontal="center"/>
    </xf>
    <xf numFmtId="4" fontId="165" fillId="46" borderId="33" xfId="0" applyNumberFormat="1" applyFont="1" applyFill="1" applyBorder="1" applyAlignment="1">
      <alignment horizontal="center"/>
    </xf>
    <xf numFmtId="4" fontId="165" fillId="3" borderId="17" xfId="0" applyNumberFormat="1" applyFont="1" applyFill="1" applyBorder="1" applyAlignment="1">
      <alignment horizontal="center"/>
    </xf>
    <xf numFmtId="1" fontId="168" fillId="46" borderId="17" xfId="0" applyNumberFormat="1" applyFont="1" applyFill="1" applyBorder="1" applyAlignment="1">
      <alignment horizontal="center" vertical="center"/>
    </xf>
    <xf numFmtId="1" fontId="168" fillId="46" borderId="26" xfId="0" applyNumberFormat="1" applyFont="1" applyFill="1" applyBorder="1" applyAlignment="1">
      <alignment horizontal="center" vertical="center"/>
    </xf>
    <xf numFmtId="1" fontId="169" fillId="46" borderId="33" xfId="0" applyNumberFormat="1" applyFont="1" applyFill="1" applyBorder="1" applyAlignment="1">
      <alignment horizontal="center" vertical="center" wrapText="1"/>
    </xf>
    <xf numFmtId="1" fontId="169" fillId="0" borderId="0" xfId="0" applyNumberFormat="1" applyFont="1" applyAlignment="1">
      <alignment horizontal="center" vertical="center"/>
    </xf>
    <xf numFmtId="173" fontId="166" fillId="46" borderId="17" xfId="1216" applyNumberFormat="1" applyFont="1" applyFill="1" applyBorder="1" applyAlignment="1">
      <alignment horizontal="left" vertical="top"/>
    </xf>
    <xf numFmtId="173" fontId="8" fillId="46" borderId="26" xfId="1216" applyNumberFormat="1" applyFont="1" applyFill="1" applyBorder="1" applyAlignment="1">
      <alignment horizontal="right" vertical="top"/>
    </xf>
    <xf numFmtId="173" fontId="8" fillId="46" borderId="6" xfId="1216" applyNumberFormat="1" applyFont="1" applyFill="1" applyBorder="1" applyAlignment="1">
      <alignment horizontal="right" vertical="top"/>
    </xf>
    <xf numFmtId="173" fontId="165" fillId="3" borderId="17" xfId="1216" applyNumberFormat="1" applyFont="1" applyFill="1" applyBorder="1" applyAlignment="1">
      <alignment horizontal="right" vertical="top"/>
    </xf>
    <xf numFmtId="4" fontId="170" fillId="46" borderId="17" xfId="0" applyNumberFormat="1" applyFont="1" applyFill="1" applyBorder="1" applyAlignment="1">
      <alignment horizontal="right"/>
    </xf>
    <xf numFmtId="4" fontId="166" fillId="46" borderId="17" xfId="0" applyNumberFormat="1" applyFont="1" applyFill="1" applyBorder="1" applyAlignment="1">
      <alignment horizontal="left"/>
    </xf>
    <xf numFmtId="169" fontId="166" fillId="46" borderId="17" xfId="0" applyNumberFormat="1" applyFont="1" applyFill="1" applyBorder="1" applyAlignment="1">
      <alignment horizontal="right"/>
    </xf>
    <xf numFmtId="4" fontId="166" fillId="46" borderId="26" xfId="0" applyNumberFormat="1" applyFont="1" applyFill="1" applyBorder="1" applyAlignment="1">
      <alignment horizontal="right"/>
    </xf>
    <xf numFmtId="4" fontId="165" fillId="3" borderId="17" xfId="0" applyNumberFormat="1" applyFont="1" applyFill="1" applyBorder="1" applyAlignment="1">
      <alignment horizontal="right"/>
    </xf>
    <xf numFmtId="169" fontId="8" fillId="46" borderId="17" xfId="0" applyNumberFormat="1" applyFont="1" applyFill="1" applyBorder="1" applyAlignment="1">
      <alignment horizontal="right"/>
    </xf>
    <xf numFmtId="4" fontId="166" fillId="46" borderId="17" xfId="0" applyNumberFormat="1" applyFont="1" applyFill="1" applyBorder="1" applyAlignment="1">
      <alignment horizontal="right"/>
    </xf>
    <xf numFmtId="193" fontId="165" fillId="3" borderId="17" xfId="1216" applyNumberFormat="1" applyFont="1" applyFill="1" applyBorder="1" applyAlignment="1">
      <alignment horizontal="right" vertical="top"/>
    </xf>
    <xf numFmtId="3" fontId="164" fillId="0" borderId="17" xfId="0" applyNumberFormat="1" applyFont="1" applyBorder="1" applyAlignment="1">
      <alignment horizontal="right"/>
    </xf>
    <xf numFmtId="4" fontId="164" fillId="0" borderId="17" xfId="0" applyNumberFormat="1" applyFont="1" applyBorder="1" applyAlignment="1">
      <alignment horizontal="right"/>
    </xf>
    <xf numFmtId="0" fontId="164" fillId="46" borderId="0" xfId="0" applyFont="1" applyFill="1"/>
    <xf numFmtId="4" fontId="164" fillId="46" borderId="0" xfId="0" applyNumberFormat="1" applyFont="1" applyFill="1" applyAlignment="1">
      <alignment horizontal="right"/>
    </xf>
    <xf numFmtId="0" fontId="13" fillId="25" borderId="28" xfId="0" applyFont="1" applyFill="1" applyBorder="1" applyAlignment="1">
      <alignment horizontal="centerContinuous" wrapText="1"/>
    </xf>
    <xf numFmtId="0" fontId="8" fillId="25" borderId="29" xfId="0" applyFont="1" applyFill="1" applyBorder="1" applyAlignment="1">
      <alignment horizontal="centerContinuous" wrapText="1"/>
    </xf>
    <xf numFmtId="0" fontId="8" fillId="25" borderId="27" xfId="0" applyFont="1" applyFill="1" applyBorder="1" applyAlignment="1">
      <alignment horizontal="centerContinuous" wrapText="1"/>
    </xf>
    <xf numFmtId="0" fontId="8" fillId="25" borderId="17" xfId="0" applyFont="1" applyFill="1" applyBorder="1" applyAlignment="1">
      <alignment horizontal="right" vertical="center" wrapText="1"/>
    </xf>
    <xf numFmtId="0" fontId="8" fillId="25" borderId="17" xfId="0" applyFont="1" applyFill="1" applyBorder="1" applyAlignment="1">
      <alignment horizontal="center" vertical="center" wrapText="1"/>
    </xf>
    <xf numFmtId="0" fontId="8" fillId="25" borderId="17" xfId="0" applyFont="1" applyFill="1" applyBorder="1" applyAlignment="1">
      <alignment horizontal="right"/>
    </xf>
    <xf numFmtId="0" fontId="8" fillId="25" borderId="17" xfId="0" applyFont="1" applyFill="1" applyBorder="1"/>
    <xf numFmtId="4" fontId="8" fillId="25" borderId="17" xfId="0" applyNumberFormat="1" applyFont="1" applyFill="1" applyBorder="1" applyAlignment="1">
      <alignment horizontal="right"/>
    </xf>
    <xf numFmtId="4" fontId="8" fillId="25" borderId="17" xfId="0" applyNumberFormat="1" applyFont="1" applyFill="1" applyBorder="1"/>
    <xf numFmtId="170" fontId="8" fillId="25" borderId="17" xfId="0" applyNumberFormat="1" applyFont="1" applyFill="1" applyBorder="1" applyAlignment="1">
      <alignment horizontal="right"/>
    </xf>
    <xf numFmtId="170" fontId="8" fillId="25" borderId="17" xfId="0" applyNumberFormat="1" applyFont="1" applyFill="1" applyBorder="1"/>
    <xf numFmtId="4" fontId="8" fillId="46" borderId="29" xfId="0" applyNumberFormat="1" applyFont="1" applyFill="1" applyBorder="1" applyAlignment="1">
      <alignment horizontal="right"/>
    </xf>
    <xf numFmtId="49" fontId="8" fillId="44" borderId="17" xfId="0" applyNumberFormat="1" applyFont="1" applyFill="1" applyBorder="1" applyAlignment="1">
      <alignment horizontal="right"/>
    </xf>
    <xf numFmtId="170" fontId="8" fillId="44" borderId="33" xfId="0" applyNumberFormat="1" applyFont="1" applyFill="1" applyBorder="1"/>
    <xf numFmtId="170" fontId="8" fillId="44" borderId="17" xfId="0" applyNumberFormat="1" applyFont="1" applyFill="1" applyBorder="1"/>
    <xf numFmtId="0" fontId="13" fillId="33" borderId="28" xfId="0" applyFont="1" applyFill="1" applyBorder="1" applyAlignment="1">
      <alignment horizontal="centerContinuous" wrapText="1"/>
    </xf>
    <xf numFmtId="0" fontId="8" fillId="33" borderId="26" xfId="0" applyFont="1" applyFill="1" applyBorder="1" applyAlignment="1">
      <alignment horizontal="centerContinuous"/>
    </xf>
    <xf numFmtId="0" fontId="8" fillId="33" borderId="17" xfId="0" applyFont="1" applyFill="1" applyBorder="1" applyAlignment="1">
      <alignment horizontal="centerContinuous"/>
    </xf>
    <xf numFmtId="170" fontId="8" fillId="33" borderId="17" xfId="0" applyNumberFormat="1" applyFont="1" applyFill="1" applyBorder="1"/>
    <xf numFmtId="170" fontId="171" fillId="33" borderId="17" xfId="0" applyNumberFormat="1" applyFont="1" applyFill="1" applyBorder="1"/>
    <xf numFmtId="0" fontId="171" fillId="0" borderId="0" xfId="0" applyFont="1"/>
    <xf numFmtId="3" fontId="8" fillId="0" borderId="0" xfId="0" applyNumberFormat="1" applyFont="1"/>
    <xf numFmtId="10" fontId="172" fillId="0" borderId="0" xfId="0" applyNumberFormat="1" applyFont="1" applyAlignment="1">
      <alignment horizontal="center" vertical="center"/>
    </xf>
    <xf numFmtId="169" fontId="166" fillId="44" borderId="0" xfId="0" applyNumberFormat="1" applyFont="1" applyFill="1" applyBorder="1" applyAlignment="1">
      <alignment horizontal="left"/>
    </xf>
    <xf numFmtId="170" fontId="164" fillId="0" borderId="0" xfId="0" applyNumberFormat="1" applyFont="1"/>
    <xf numFmtId="0" fontId="61" fillId="46" borderId="0" xfId="1176" applyFont="1" applyFill="1"/>
    <xf numFmtId="0" fontId="8" fillId="46" borderId="0" xfId="0" applyFont="1" applyFill="1" applyAlignment="1">
      <alignment horizontal="right"/>
    </xf>
    <xf numFmtId="0" fontId="13" fillId="46" borderId="0" xfId="0" applyFont="1" applyFill="1"/>
    <xf numFmtId="0" fontId="48" fillId="46" borderId="0" xfId="0" applyFont="1" applyFill="1" applyAlignment="1">
      <alignment horizontal="centerContinuous"/>
    </xf>
    <xf numFmtId="0" fontId="8" fillId="46" borderId="17" xfId="0" applyFont="1" applyFill="1" applyBorder="1" applyAlignment="1">
      <alignment horizontal="center" vertical="top" wrapText="1"/>
    </xf>
    <xf numFmtId="0" fontId="15" fillId="46" borderId="0" xfId="0" applyFont="1" applyFill="1"/>
    <xf numFmtId="0" fontId="8" fillId="44" borderId="29" xfId="0" applyFont="1" applyFill="1" applyBorder="1" applyAlignment="1">
      <alignment horizontal="centerContinuous"/>
    </xf>
    <xf numFmtId="4" fontId="8" fillId="44" borderId="17" xfId="0" applyNumberFormat="1" applyFont="1" applyFill="1" applyBorder="1" applyAlignment="1">
      <alignment horizontal="centerContinuous"/>
    </xf>
    <xf numFmtId="0" fontId="13" fillId="44" borderId="28" xfId="0" applyFont="1" applyFill="1" applyBorder="1" applyAlignment="1">
      <alignment horizontal="centerContinuous" wrapText="1"/>
    </xf>
    <xf numFmtId="0" fontId="0" fillId="46" borderId="0" xfId="0" applyFill="1"/>
    <xf numFmtId="170" fontId="10" fillId="46" borderId="17" xfId="0" applyNumberFormat="1" applyFont="1" applyFill="1" applyBorder="1"/>
    <xf numFmtId="170" fontId="171" fillId="0" borderId="0" xfId="0" applyNumberFormat="1" applyFont="1"/>
    <xf numFmtId="0" fontId="48" fillId="46" borderId="17" xfId="0" applyFont="1" applyFill="1" applyBorder="1" applyAlignment="1">
      <alignment wrapText="1"/>
    </xf>
    <xf numFmtId="0" fontId="8" fillId="46" borderId="0" xfId="0" applyFont="1" applyFill="1" applyAlignment="1">
      <alignment horizontal="centerContinuous"/>
    </xf>
    <xf numFmtId="194" fontId="8" fillId="46" borderId="17" xfId="1216" applyNumberFormat="1" applyFont="1" applyFill="1" applyBorder="1" applyAlignment="1">
      <alignment horizontal="right" wrapText="1"/>
    </xf>
    <xf numFmtId="0" fontId="8" fillId="46" borderId="17" xfId="1211" applyFont="1" applyFill="1" applyBorder="1" applyAlignment="1">
      <alignment horizontal="center" vertical="center" wrapText="1"/>
    </xf>
    <xf numFmtId="0" fontId="174" fillId="46" borderId="17" xfId="1211" applyFont="1" applyFill="1" applyBorder="1" applyAlignment="1">
      <alignment horizontal="left" vertical="center" wrapText="1"/>
    </xf>
    <xf numFmtId="0" fontId="174" fillId="46" borderId="17" xfId="1211" applyFont="1" applyFill="1" applyBorder="1" applyAlignment="1">
      <alignment horizontal="center" vertical="center" wrapText="1"/>
    </xf>
    <xf numFmtId="0" fontId="175" fillId="46" borderId="17" xfId="1211" applyFont="1" applyFill="1" applyBorder="1" applyAlignment="1">
      <alignment horizontal="center" vertical="center" wrapText="1"/>
    </xf>
    <xf numFmtId="170" fontId="170" fillId="49" borderId="33" xfId="0" applyNumberFormat="1" applyFont="1" applyFill="1" applyBorder="1"/>
    <xf numFmtId="4" fontId="8" fillId="28" borderId="17" xfId="0" applyNumberFormat="1" applyFont="1" applyFill="1" applyBorder="1" applyAlignment="1">
      <alignment horizontal="center" wrapText="1"/>
    </xf>
    <xf numFmtId="10" fontId="8" fillId="44" borderId="43" xfId="0" applyNumberFormat="1" applyFont="1" applyFill="1" applyBorder="1" applyAlignment="1">
      <alignment horizontal="right"/>
    </xf>
    <xf numFmtId="10" fontId="8" fillId="44" borderId="43" xfId="0" applyNumberFormat="1" applyFont="1" applyFill="1" applyBorder="1" applyAlignment="1"/>
    <xf numFmtId="170" fontId="171" fillId="48" borderId="17" xfId="0" applyNumberFormat="1" applyFont="1" applyFill="1" applyBorder="1"/>
    <xf numFmtId="170" fontId="167" fillId="49" borderId="17" xfId="0" applyNumberFormat="1" applyFont="1" applyFill="1" applyBorder="1"/>
    <xf numFmtId="3" fontId="165" fillId="34" borderId="0" xfId="0" applyNumberFormat="1" applyFont="1" applyFill="1"/>
    <xf numFmtId="0" fontId="10" fillId="46" borderId="0" xfId="0" applyFont="1" applyFill="1" applyAlignment="1">
      <alignment horizontal="centerContinuous"/>
    </xf>
    <xf numFmtId="0" fontId="55" fillId="46" borderId="0" xfId="0" applyFont="1" applyFill="1"/>
    <xf numFmtId="0" fontId="48" fillId="0" borderId="17" xfId="0" applyFont="1" applyBorder="1" applyAlignment="1">
      <alignment horizontal="center" vertical="top" wrapText="1"/>
    </xf>
    <xf numFmtId="4" fontId="10" fillId="28" borderId="17" xfId="0" applyNumberFormat="1" applyFont="1" applyFill="1" applyBorder="1" applyAlignment="1">
      <alignment horizontal="center" wrapText="1"/>
    </xf>
    <xf numFmtId="4" fontId="10" fillId="0" borderId="17" xfId="0" applyNumberFormat="1" applyFont="1" applyBorder="1" applyAlignment="1">
      <alignment horizontal="center" wrapText="1"/>
    </xf>
    <xf numFmtId="3" fontId="55" fillId="46" borderId="0" xfId="0" applyNumberFormat="1" applyFont="1" applyFill="1"/>
    <xf numFmtId="0" fontId="55" fillId="46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0" fillId="46" borderId="0" xfId="0" applyFont="1" applyFill="1" applyAlignment="1">
      <alignment horizontal="center"/>
    </xf>
    <xf numFmtId="0" fontId="10" fillId="0" borderId="17" xfId="0" applyFont="1" applyBorder="1" applyAlignment="1">
      <alignment horizontal="center" wrapText="1"/>
    </xf>
    <xf numFmtId="3" fontId="10" fillId="0" borderId="0" xfId="0" applyNumberFormat="1" applyFont="1"/>
    <xf numFmtId="4" fontId="10" fillId="28" borderId="0" xfId="0" applyNumberFormat="1" applyFont="1" applyFill="1" applyBorder="1" applyAlignment="1">
      <alignment horizontal="center" wrapText="1"/>
    </xf>
    <xf numFmtId="4" fontId="10" fillId="0" borderId="0" xfId="0" applyNumberFormat="1" applyFont="1" applyBorder="1" applyAlignment="1">
      <alignment horizontal="center" wrapText="1"/>
    </xf>
    <xf numFmtId="0" fontId="10" fillId="0" borderId="21" xfId="0" applyFont="1" applyBorder="1" applyAlignment="1">
      <alignment horizontal="centerContinuous"/>
    </xf>
    <xf numFmtId="0" fontId="10" fillId="0" borderId="46" xfId="0" applyFont="1" applyBorder="1" applyAlignment="1">
      <alignment horizontal="centerContinuous"/>
    </xf>
    <xf numFmtId="0" fontId="10" fillId="0" borderId="47" xfId="0" applyFont="1" applyBorder="1" applyAlignment="1">
      <alignment horizontal="centerContinuous"/>
    </xf>
    <xf numFmtId="0" fontId="48" fillId="0" borderId="49" xfId="0" applyFont="1" applyBorder="1" applyAlignment="1">
      <alignment horizontal="centerContinuous"/>
    </xf>
    <xf numFmtId="0" fontId="10" fillId="0" borderId="50" xfId="0" applyFont="1" applyBorder="1" applyAlignment="1">
      <alignment horizontal="centerContinuous"/>
    </xf>
    <xf numFmtId="0" fontId="48" fillId="46" borderId="50" xfId="0" applyFont="1" applyFill="1" applyBorder="1" applyAlignment="1">
      <alignment horizontal="centerContinuous"/>
    </xf>
    <xf numFmtId="0" fontId="10" fillId="46" borderId="50" xfId="0" applyFont="1" applyFill="1" applyBorder="1" applyAlignment="1">
      <alignment horizontal="centerContinuous"/>
    </xf>
    <xf numFmtId="0" fontId="10" fillId="46" borderId="51" xfId="0" applyFont="1" applyFill="1" applyBorder="1" applyAlignment="1">
      <alignment horizontal="centerContinuous"/>
    </xf>
    <xf numFmtId="0" fontId="50" fillId="0" borderId="32" xfId="0" applyFont="1" applyBorder="1" applyAlignment="1">
      <alignment horizontal="centerContinuous" vertical="center"/>
    </xf>
    <xf numFmtId="0" fontId="50" fillId="0" borderId="17" xfId="0" applyFont="1" applyBorder="1" applyAlignment="1">
      <alignment horizontal="centerContinuous" vertical="center"/>
    </xf>
    <xf numFmtId="0" fontId="50" fillId="0" borderId="34" xfId="0" applyFont="1" applyBorder="1" applyAlignment="1">
      <alignment horizontal="center" vertical="center" wrapText="1"/>
    </xf>
    <xf numFmtId="0" fontId="48" fillId="0" borderId="21" xfId="0" applyFont="1" applyBorder="1" applyAlignment="1">
      <alignment horizontal="centerContinuous" vertical="center"/>
    </xf>
    <xf numFmtId="0" fontId="48" fillId="0" borderId="46" xfId="0" applyFont="1" applyBorder="1" applyAlignment="1">
      <alignment horizontal="centerContinuous" vertical="center"/>
    </xf>
    <xf numFmtId="0" fontId="48" fillId="0" borderId="47" xfId="0" applyFont="1" applyBorder="1" applyAlignment="1">
      <alignment horizontal="centerContinuous" vertical="center"/>
    </xf>
    <xf numFmtId="0" fontId="48" fillId="46" borderId="46" xfId="0" applyFont="1" applyFill="1" applyBorder="1" applyAlignment="1">
      <alignment horizontal="centerContinuous" vertical="center"/>
    </xf>
    <xf numFmtId="0" fontId="50" fillId="0" borderId="33" xfId="0" applyFont="1" applyBorder="1" applyAlignment="1">
      <alignment horizontal="center" vertical="top" wrapText="1"/>
    </xf>
    <xf numFmtId="0" fontId="8" fillId="0" borderId="32" xfId="0" applyFont="1" applyBorder="1" applyAlignment="1">
      <alignment horizontal="center" vertical="top" wrapText="1"/>
    </xf>
    <xf numFmtId="0" fontId="8" fillId="0" borderId="34" xfId="0" applyFont="1" applyBorder="1" applyAlignment="1">
      <alignment horizontal="center" vertical="top" wrapText="1"/>
    </xf>
    <xf numFmtId="0" fontId="50" fillId="0" borderId="32" xfId="0" applyFont="1" applyBorder="1" applyAlignment="1">
      <alignment horizontal="center" vertical="top" wrapText="1"/>
    </xf>
    <xf numFmtId="0" fontId="50" fillId="0" borderId="34" xfId="0" applyFont="1" applyBorder="1" applyAlignment="1">
      <alignment horizontal="center" vertical="top" wrapText="1"/>
    </xf>
    <xf numFmtId="0" fontId="50" fillId="46" borderId="32" xfId="0" applyFont="1" applyFill="1" applyBorder="1" applyAlignment="1">
      <alignment horizontal="center" vertical="top" wrapText="1"/>
    </xf>
    <xf numFmtId="0" fontId="50" fillId="46" borderId="17" xfId="0" applyFont="1" applyFill="1" applyBorder="1" applyAlignment="1">
      <alignment horizontal="center" vertical="top" wrapText="1"/>
    </xf>
    <xf numFmtId="0" fontId="50" fillId="46" borderId="34" xfId="0" applyFont="1" applyFill="1" applyBorder="1" applyAlignment="1">
      <alignment horizontal="center" vertical="top" wrapText="1"/>
    </xf>
    <xf numFmtId="0" fontId="50" fillId="0" borderId="0" xfId="0" applyFont="1" applyAlignment="1">
      <alignment horizontal="center" vertical="top" wrapText="1"/>
    </xf>
    <xf numFmtId="0" fontId="89" fillId="0" borderId="31" xfId="0" applyFont="1" applyBorder="1" applyAlignment="1">
      <alignment horizontal="center"/>
    </xf>
    <xf numFmtId="0" fontId="89" fillId="46" borderId="22" xfId="0" applyFont="1" applyFill="1" applyBorder="1" applyAlignment="1">
      <alignment horizontal="center" vertical="center"/>
    </xf>
    <xf numFmtId="0" fontId="89" fillId="46" borderId="17" xfId="0" applyFont="1" applyFill="1" applyBorder="1" applyAlignment="1">
      <alignment horizontal="center" vertical="top" wrapText="1"/>
    </xf>
    <xf numFmtId="0" fontId="89" fillId="46" borderId="33" xfId="0" applyFont="1" applyFill="1" applyBorder="1" applyAlignment="1">
      <alignment horizontal="center" vertical="top" wrapText="1"/>
    </xf>
    <xf numFmtId="0" fontId="89" fillId="46" borderId="32" xfId="0" applyFont="1" applyFill="1" applyBorder="1" applyAlignment="1">
      <alignment horizontal="center" vertical="top" wrapText="1"/>
    </xf>
    <xf numFmtId="0" fontId="89" fillId="46" borderId="34" xfId="0" applyFont="1" applyFill="1" applyBorder="1" applyAlignment="1">
      <alignment horizontal="center" vertical="top" wrapText="1"/>
    </xf>
    <xf numFmtId="0" fontId="89" fillId="0" borderId="32" xfId="0" applyFont="1" applyBorder="1" applyAlignment="1">
      <alignment horizontal="center" vertical="top" wrapText="1"/>
    </xf>
    <xf numFmtId="0" fontId="89" fillId="0" borderId="17" xfId="0" applyFont="1" applyBorder="1" applyAlignment="1">
      <alignment horizontal="center" vertical="top" wrapText="1"/>
    </xf>
    <xf numFmtId="0" fontId="89" fillId="0" borderId="34" xfId="0" applyFont="1" applyBorder="1" applyAlignment="1">
      <alignment horizontal="center" vertical="top" wrapText="1"/>
    </xf>
    <xf numFmtId="170" fontId="23" fillId="0" borderId="0" xfId="0" applyNumberFormat="1" applyFont="1" applyBorder="1"/>
    <xf numFmtId="170" fontId="23" fillId="0" borderId="48" xfId="0" applyNumberFormat="1" applyFont="1" applyBorder="1"/>
    <xf numFmtId="0" fontId="89" fillId="0" borderId="0" xfId="0" applyFont="1" applyAlignment="1">
      <alignment horizontal="center" vertical="top" wrapText="1"/>
    </xf>
    <xf numFmtId="0" fontId="48" fillId="0" borderId="32" xfId="0" applyFont="1" applyBorder="1" applyAlignment="1">
      <alignment horizontal="center"/>
    </xf>
    <xf numFmtId="0" fontId="10" fillId="46" borderId="17" xfId="0" applyFont="1" applyFill="1" applyBorder="1"/>
    <xf numFmtId="0" fontId="10" fillId="46" borderId="33" xfId="0" applyFont="1" applyFill="1" applyBorder="1"/>
    <xf numFmtId="0" fontId="10" fillId="46" borderId="32" xfId="0" applyFont="1" applyFill="1" applyBorder="1"/>
    <xf numFmtId="0" fontId="10" fillId="46" borderId="34" xfId="0" applyFont="1" applyFill="1" applyBorder="1"/>
    <xf numFmtId="170" fontId="176" fillId="48" borderId="32" xfId="0" applyNumberFormat="1" applyFont="1" applyFill="1" applyBorder="1"/>
    <xf numFmtId="170" fontId="176" fillId="48" borderId="17" xfId="0" applyNumberFormat="1" applyFont="1" applyFill="1" applyBorder="1"/>
    <xf numFmtId="170" fontId="10" fillId="48" borderId="34" xfId="0" applyNumberFormat="1" applyFont="1" applyFill="1" applyBorder="1"/>
    <xf numFmtId="169" fontId="10" fillId="46" borderId="32" xfId="0" applyNumberFormat="1" applyFont="1" applyFill="1" applyBorder="1"/>
    <xf numFmtId="169" fontId="10" fillId="46" borderId="17" xfId="0" applyNumberFormat="1" applyFont="1" applyFill="1" applyBorder="1"/>
    <xf numFmtId="170" fontId="45" fillId="46" borderId="34" xfId="0" applyNumberFormat="1" applyFont="1" applyFill="1" applyBorder="1"/>
    <xf numFmtId="0" fontId="10" fillId="0" borderId="32" xfId="0" applyFont="1" applyBorder="1"/>
    <xf numFmtId="0" fontId="10" fillId="46" borderId="35" xfId="0" applyFont="1" applyFill="1" applyBorder="1"/>
    <xf numFmtId="0" fontId="10" fillId="46" borderId="37" xfId="0" applyFont="1" applyFill="1" applyBorder="1"/>
    <xf numFmtId="0" fontId="10" fillId="46" borderId="38" xfId="0" applyFont="1" applyFill="1" applyBorder="1"/>
    <xf numFmtId="170" fontId="10" fillId="48" borderId="17" xfId="0" applyNumberFormat="1" applyFont="1" applyFill="1" applyBorder="1"/>
    <xf numFmtId="170" fontId="10" fillId="46" borderId="32" xfId="0" applyNumberFormat="1" applyFont="1" applyFill="1" applyBorder="1"/>
    <xf numFmtId="170" fontId="10" fillId="46" borderId="34" xfId="0" applyNumberFormat="1" applyFont="1" applyFill="1" applyBorder="1"/>
    <xf numFmtId="0" fontId="10" fillId="0" borderId="52" xfId="0" applyFont="1" applyBorder="1"/>
    <xf numFmtId="0" fontId="10" fillId="46" borderId="23" xfId="0" applyFont="1" applyFill="1" applyBorder="1"/>
    <xf numFmtId="0" fontId="10" fillId="46" borderId="28" xfId="0" applyFont="1" applyFill="1" applyBorder="1"/>
    <xf numFmtId="0" fontId="10" fillId="46" borderId="53" xfId="0" applyFont="1" applyFill="1" applyBorder="1"/>
    <xf numFmtId="0" fontId="10" fillId="46" borderId="20" xfId="0" applyFont="1" applyFill="1" applyBorder="1"/>
    <xf numFmtId="0" fontId="10" fillId="46" borderId="54" xfId="0" applyFont="1" applyFill="1" applyBorder="1"/>
    <xf numFmtId="1" fontId="48" fillId="48" borderId="52" xfId="0" applyNumberFormat="1" applyFont="1" applyFill="1" applyBorder="1" applyAlignment="1">
      <alignment horizontal="centerContinuous"/>
    </xf>
    <xf numFmtId="1" fontId="45" fillId="48" borderId="23" xfId="0" applyNumberFormat="1" applyFont="1" applyFill="1" applyBorder="1" applyAlignment="1">
      <alignment horizontal="centerContinuous"/>
    </xf>
    <xf numFmtId="1" fontId="45" fillId="48" borderId="55" xfId="0" applyNumberFormat="1" applyFont="1" applyFill="1" applyBorder="1" applyAlignment="1">
      <alignment horizontal="centerContinuous"/>
    </xf>
    <xf numFmtId="1" fontId="48" fillId="46" borderId="52" xfId="0" applyNumberFormat="1" applyFont="1" applyFill="1" applyBorder="1" applyAlignment="1">
      <alignment horizontal="centerContinuous"/>
    </xf>
    <xf numFmtId="1" fontId="45" fillId="46" borderId="23" xfId="0" applyNumberFormat="1" applyFont="1" applyFill="1" applyBorder="1" applyAlignment="1">
      <alignment horizontal="centerContinuous"/>
    </xf>
    <xf numFmtId="1" fontId="45" fillId="46" borderId="55" xfId="0" applyNumberFormat="1" applyFont="1" applyFill="1" applyBorder="1" applyAlignment="1">
      <alignment horizontal="centerContinuous"/>
    </xf>
    <xf numFmtId="0" fontId="10" fillId="46" borderId="56" xfId="0" applyFont="1" applyFill="1" applyBorder="1"/>
    <xf numFmtId="0" fontId="10" fillId="46" borderId="57" xfId="0" applyFont="1" applyFill="1" applyBorder="1"/>
    <xf numFmtId="0" fontId="10" fillId="46" borderId="58" xfId="0" applyFont="1" applyFill="1" applyBorder="1"/>
    <xf numFmtId="170" fontId="48" fillId="46" borderId="21" xfId="0" applyNumberFormat="1" applyFont="1" applyFill="1" applyBorder="1" applyAlignment="1">
      <alignment horizontal="centerContinuous"/>
    </xf>
    <xf numFmtId="170" fontId="48" fillId="46" borderId="46" xfId="0" applyNumberFormat="1" applyFont="1" applyFill="1" applyBorder="1" applyAlignment="1">
      <alignment horizontal="centerContinuous"/>
    </xf>
    <xf numFmtId="170" fontId="48" fillId="46" borderId="47" xfId="0" applyNumberFormat="1" applyFont="1" applyFill="1" applyBorder="1" applyAlignment="1">
      <alignment horizontal="centerContinuous"/>
    </xf>
    <xf numFmtId="170" fontId="48" fillId="46" borderId="21" xfId="0" applyNumberFormat="1" applyFont="1" applyFill="1" applyBorder="1" applyAlignment="1">
      <alignment horizontal="centerContinuous" wrapText="1"/>
    </xf>
    <xf numFmtId="0" fontId="10" fillId="46" borderId="58" xfId="0" applyFont="1" applyFill="1" applyBorder="1" applyAlignment="1">
      <alignment horizontal="centerContinuous"/>
    </xf>
    <xf numFmtId="0" fontId="10" fillId="46" borderId="59" xfId="0" applyFont="1" applyFill="1" applyBorder="1"/>
    <xf numFmtId="0" fontId="10" fillId="46" borderId="24" xfId="0" applyFont="1" applyFill="1" applyBorder="1"/>
    <xf numFmtId="0" fontId="10" fillId="46" borderId="60" xfId="0" applyFont="1" applyFill="1" applyBorder="1"/>
    <xf numFmtId="170" fontId="48" fillId="46" borderId="32" xfId="0" applyNumberFormat="1" applyFont="1" applyFill="1" applyBorder="1"/>
    <xf numFmtId="170" fontId="48" fillId="46" borderId="17" xfId="0" applyNumberFormat="1" applyFont="1" applyFill="1" applyBorder="1"/>
    <xf numFmtId="170" fontId="48" fillId="46" borderId="34" xfId="0" applyNumberFormat="1" applyFont="1" applyFill="1" applyBorder="1"/>
    <xf numFmtId="169" fontId="10" fillId="46" borderId="17" xfId="0" applyNumberFormat="1" applyFont="1" applyFill="1" applyBorder="1" applyAlignment="1">
      <alignment horizontal="center"/>
    </xf>
    <xf numFmtId="0" fontId="50" fillId="46" borderId="17" xfId="0" applyFont="1" applyFill="1" applyBorder="1"/>
    <xf numFmtId="4" fontId="10" fillId="46" borderId="32" xfId="0" applyNumberFormat="1" applyFont="1" applyFill="1" applyBorder="1" applyAlignment="1">
      <alignment horizontal="center" wrapText="1"/>
    </xf>
    <xf numFmtId="4" fontId="10" fillId="46" borderId="17" xfId="0" applyNumberFormat="1" applyFont="1" applyFill="1" applyBorder="1" applyAlignment="1">
      <alignment horizontal="center" wrapText="1"/>
    </xf>
    <xf numFmtId="4" fontId="10" fillId="46" borderId="34" xfId="0" applyNumberFormat="1" applyFont="1" applyFill="1" applyBorder="1" applyAlignment="1">
      <alignment horizontal="center" wrapText="1"/>
    </xf>
    <xf numFmtId="0" fontId="50" fillId="46" borderId="17" xfId="0" applyFont="1" applyFill="1" applyBorder="1" applyAlignment="1">
      <alignment wrapText="1"/>
    </xf>
    <xf numFmtId="169" fontId="10" fillId="46" borderId="37" xfId="0" applyNumberFormat="1" applyFont="1" applyFill="1" applyBorder="1" applyAlignment="1">
      <alignment horizontal="center"/>
    </xf>
    <xf numFmtId="169" fontId="10" fillId="46" borderId="36" xfId="0" applyNumberFormat="1" applyFont="1" applyFill="1" applyBorder="1" applyAlignment="1">
      <alignment horizontal="center"/>
    </xf>
    <xf numFmtId="170" fontId="10" fillId="46" borderId="35" xfId="0" applyNumberFormat="1" applyFont="1" applyFill="1" applyBorder="1"/>
    <xf numFmtId="170" fontId="10" fillId="46" borderId="37" xfId="0" applyNumberFormat="1" applyFont="1" applyFill="1" applyBorder="1"/>
    <xf numFmtId="170" fontId="10" fillId="46" borderId="38" xfId="0" applyNumberFormat="1" applyFont="1" applyFill="1" applyBorder="1"/>
    <xf numFmtId="169" fontId="10" fillId="46" borderId="22" xfId="0" applyNumberFormat="1" applyFont="1" applyFill="1" applyBorder="1" applyAlignment="1">
      <alignment horizontal="centerContinuous" vertical="center"/>
    </xf>
    <xf numFmtId="170" fontId="48" fillId="46" borderId="31" xfId="0" applyNumberFormat="1" applyFont="1" applyFill="1" applyBorder="1" applyAlignment="1">
      <alignment horizontal="centerContinuous"/>
    </xf>
    <xf numFmtId="170" fontId="48" fillId="46" borderId="22" xfId="0" applyNumberFormat="1" applyFont="1" applyFill="1" applyBorder="1" applyAlignment="1">
      <alignment horizontal="centerContinuous"/>
    </xf>
    <xf numFmtId="170" fontId="48" fillId="46" borderId="61" xfId="0" applyNumberFormat="1" applyFont="1" applyFill="1" applyBorder="1" applyAlignment="1">
      <alignment horizontal="centerContinuous"/>
    </xf>
    <xf numFmtId="0" fontId="8" fillId="46" borderId="17" xfId="0" applyFont="1" applyFill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4" fontId="10" fillId="0" borderId="0" xfId="0" applyNumberFormat="1" applyFont="1"/>
    <xf numFmtId="4" fontId="10" fillId="44" borderId="0" xfId="0" applyNumberFormat="1" applyFont="1" applyFill="1"/>
    <xf numFmtId="3" fontId="10" fillId="44" borderId="0" xfId="0" applyNumberFormat="1" applyFont="1" applyFill="1"/>
    <xf numFmtId="4" fontId="8" fillId="46" borderId="17" xfId="0" applyNumberFormat="1" applyFont="1" applyFill="1" applyBorder="1" applyAlignment="1">
      <alignment horizontal="right"/>
    </xf>
    <xf numFmtId="168" fontId="164" fillId="46" borderId="0" xfId="0" applyNumberFormat="1" applyFont="1" applyFill="1" applyAlignment="1">
      <alignment horizontal="right"/>
    </xf>
    <xf numFmtId="1" fontId="169" fillId="46" borderId="17" xfId="0" applyNumberFormat="1" applyFont="1" applyFill="1" applyBorder="1" applyAlignment="1">
      <alignment horizontal="center" vertical="center"/>
    </xf>
    <xf numFmtId="1" fontId="169" fillId="3" borderId="17" xfId="0" applyNumberFormat="1" applyFont="1" applyFill="1" applyBorder="1" applyAlignment="1">
      <alignment horizontal="center" vertical="center" wrapText="1"/>
    </xf>
    <xf numFmtId="4" fontId="164" fillId="46" borderId="26" xfId="0" applyNumberFormat="1" applyFont="1" applyFill="1" applyBorder="1" applyAlignment="1">
      <alignment horizontal="center"/>
    </xf>
    <xf numFmtId="4" fontId="171" fillId="46" borderId="17" xfId="0" applyNumberFormat="1" applyFont="1" applyFill="1" applyBorder="1" applyAlignment="1">
      <alignment horizontal="left"/>
    </xf>
    <xf numFmtId="4" fontId="164" fillId="3" borderId="17" xfId="0" applyNumberFormat="1" applyFont="1" applyFill="1" applyBorder="1" applyAlignment="1">
      <alignment horizontal="right"/>
    </xf>
    <xf numFmtId="4" fontId="171" fillId="46" borderId="17" xfId="0" applyNumberFormat="1" applyFont="1" applyFill="1" applyBorder="1" applyAlignment="1">
      <alignment horizontal="right"/>
    </xf>
    <xf numFmtId="49" fontId="8" fillId="46" borderId="0" xfId="0" applyNumberFormat="1" applyFont="1" applyFill="1" applyBorder="1" applyAlignment="1"/>
    <xf numFmtId="0" fontId="166" fillId="0" borderId="0" xfId="0" applyFont="1"/>
    <xf numFmtId="169" fontId="164" fillId="46" borderId="0" xfId="0" applyNumberFormat="1" applyFont="1" applyFill="1" applyAlignment="1">
      <alignment horizontal="right"/>
    </xf>
    <xf numFmtId="0" fontId="91" fillId="46" borderId="0" xfId="0" applyFont="1" applyFill="1"/>
    <xf numFmtId="0" fontId="91" fillId="46" borderId="0" xfId="0" applyFont="1" applyFill="1" applyAlignment="1">
      <alignment horizontal="right"/>
    </xf>
    <xf numFmtId="0" fontId="91" fillId="28" borderId="0" xfId="0" applyFont="1" applyFill="1"/>
    <xf numFmtId="170" fontId="171" fillId="25" borderId="17" xfId="0" applyNumberFormat="1" applyFont="1" applyFill="1" applyBorder="1" applyAlignment="1">
      <alignment horizontal="right"/>
    </xf>
    <xf numFmtId="4" fontId="164" fillId="43" borderId="17" xfId="0" applyNumberFormat="1" applyFont="1" applyFill="1" applyBorder="1" applyAlignment="1">
      <alignment horizontal="right"/>
    </xf>
    <xf numFmtId="170" fontId="171" fillId="43" borderId="29" xfId="0" applyNumberFormat="1" applyFont="1" applyFill="1" applyBorder="1"/>
    <xf numFmtId="4" fontId="166" fillId="46" borderId="17" xfId="0" applyNumberFormat="1" applyFont="1" applyFill="1" applyBorder="1" applyAlignment="1">
      <alignment horizontal="left" wrapText="1"/>
    </xf>
    <xf numFmtId="193" fontId="166" fillId="46" borderId="6" xfId="1216" applyNumberFormat="1" applyFont="1" applyFill="1" applyBorder="1" applyAlignment="1">
      <alignment horizontal="right"/>
    </xf>
    <xf numFmtId="0" fontId="10" fillId="46" borderId="22" xfId="0" applyFont="1" applyFill="1" applyBorder="1"/>
    <xf numFmtId="0" fontId="10" fillId="0" borderId="52" xfId="0" applyFont="1" applyBorder="1" applyAlignment="1">
      <alignment horizontal="center"/>
    </xf>
    <xf numFmtId="169" fontId="10" fillId="46" borderId="30" xfId="0" applyNumberFormat="1" applyFont="1" applyFill="1" applyBorder="1" applyAlignment="1">
      <alignment horizontal="centerContinuous" vertical="center"/>
    </xf>
    <xf numFmtId="0" fontId="50" fillId="46" borderId="33" xfId="0" applyFont="1" applyFill="1" applyBorder="1" applyAlignment="1">
      <alignment horizontal="center" vertical="top" wrapText="1"/>
    </xf>
    <xf numFmtId="169" fontId="10" fillId="46" borderId="31" xfId="0" applyNumberFormat="1" applyFont="1" applyFill="1" applyBorder="1" applyAlignment="1">
      <alignment horizontal="centerContinuous" vertical="center"/>
    </xf>
    <xf numFmtId="0" fontId="8" fillId="46" borderId="32" xfId="0" applyFont="1" applyFill="1" applyBorder="1" applyAlignment="1">
      <alignment horizontal="center"/>
    </xf>
    <xf numFmtId="0" fontId="0" fillId="46" borderId="0" xfId="0" applyFill="1" applyAlignment="1"/>
    <xf numFmtId="0" fontId="0" fillId="46" borderId="0" xfId="0" applyFont="1" applyFill="1" applyAlignment="1">
      <alignment vertical="center"/>
    </xf>
    <xf numFmtId="0" fontId="8" fillId="28" borderId="0" xfId="0" applyFont="1" applyFill="1"/>
    <xf numFmtId="0" fontId="91" fillId="28" borderId="0" xfId="0" applyFont="1" applyFill="1" applyAlignment="1">
      <alignment horizontal="left"/>
    </xf>
    <xf numFmtId="0" fontId="91" fillId="28" borderId="0" xfId="0" applyFont="1" applyFill="1" applyAlignment="1"/>
    <xf numFmtId="0" fontId="171" fillId="0" borderId="17" xfId="0" applyFont="1" applyBorder="1" applyAlignment="1">
      <alignment horizontal="center" vertical="top" wrapText="1"/>
    </xf>
    <xf numFmtId="4" fontId="171" fillId="28" borderId="17" xfId="0" applyNumberFormat="1" applyFont="1" applyFill="1" applyBorder="1" applyAlignment="1">
      <alignment horizontal="center" wrapText="1"/>
    </xf>
    <xf numFmtId="4" fontId="89" fillId="46" borderId="29" xfId="0" applyNumberFormat="1" applyFont="1" applyFill="1" applyBorder="1" applyAlignment="1">
      <alignment horizontal="left"/>
    </xf>
    <xf numFmtId="4" fontId="89" fillId="46" borderId="29" xfId="0" applyNumberFormat="1" applyFont="1" applyFill="1" applyBorder="1"/>
    <xf numFmtId="170" fontId="89" fillId="0" borderId="0" xfId="0" applyNumberFormat="1" applyFont="1"/>
    <xf numFmtId="168" fontId="15" fillId="46" borderId="0" xfId="0" applyNumberFormat="1" applyFont="1" applyFill="1"/>
    <xf numFmtId="10" fontId="170" fillId="50" borderId="43" xfId="0" applyNumberFormat="1" applyFont="1" applyFill="1" applyBorder="1" applyAlignment="1"/>
    <xf numFmtId="169" fontId="170" fillId="50" borderId="0" xfId="0" applyNumberFormat="1" applyFont="1" applyFill="1" applyBorder="1" applyAlignment="1">
      <alignment horizontal="left"/>
    </xf>
    <xf numFmtId="10" fontId="170" fillId="50" borderId="39" xfId="0" applyNumberFormat="1" applyFont="1" applyFill="1" applyBorder="1" applyAlignment="1"/>
    <xf numFmtId="10" fontId="8" fillId="44" borderId="62" xfId="0" applyNumberFormat="1" applyFont="1" applyFill="1" applyBorder="1" applyAlignment="1"/>
    <xf numFmtId="0" fontId="13" fillId="44" borderId="63" xfId="0" applyFont="1" applyFill="1" applyBorder="1" applyAlignment="1">
      <alignment horizontal="centerContinuous"/>
    </xf>
    <xf numFmtId="0" fontId="8" fillId="44" borderId="30" xfId="0" applyFont="1" applyFill="1" applyBorder="1"/>
    <xf numFmtId="10" fontId="8" fillId="44" borderId="48" xfId="0" applyNumberFormat="1" applyFont="1" applyFill="1" applyBorder="1" applyAlignment="1"/>
    <xf numFmtId="10" fontId="171" fillId="44" borderId="48" xfId="0" applyNumberFormat="1" applyFont="1" applyFill="1" applyBorder="1" applyAlignment="1"/>
    <xf numFmtId="10" fontId="170" fillId="50" borderId="48" xfId="0" applyNumberFormat="1" applyFont="1" applyFill="1" applyBorder="1" applyAlignment="1">
      <alignment wrapText="1"/>
    </xf>
    <xf numFmtId="49" fontId="8" fillId="44" borderId="64" xfId="0" applyNumberFormat="1" applyFont="1" applyFill="1" applyBorder="1" applyAlignment="1"/>
    <xf numFmtId="3" fontId="164" fillId="46" borderId="0" xfId="0" applyNumberFormat="1" applyFont="1" applyFill="1"/>
    <xf numFmtId="0" fontId="176" fillId="0" borderId="0" xfId="0" applyFont="1"/>
    <xf numFmtId="169" fontId="8" fillId="0" borderId="0" xfId="0" applyNumberFormat="1" applyFont="1" applyAlignment="1">
      <alignment horizontal="left"/>
    </xf>
    <xf numFmtId="10" fontId="8" fillId="44" borderId="65" xfId="0" applyNumberFormat="1" applyFont="1" applyFill="1" applyBorder="1" applyAlignment="1">
      <alignment horizontal="center" wrapText="1"/>
    </xf>
    <xf numFmtId="167" fontId="164" fillId="46" borderId="0" xfId="0" applyNumberFormat="1" applyFont="1" applyFill="1" applyAlignment="1">
      <alignment horizontal="right"/>
    </xf>
    <xf numFmtId="171" fontId="8" fillId="46" borderId="17" xfId="0" applyNumberFormat="1" applyFont="1" applyFill="1" applyBorder="1" applyAlignment="1">
      <alignment horizontal="right"/>
    </xf>
    <xf numFmtId="4" fontId="170" fillId="50" borderId="17" xfId="0" applyNumberFormat="1" applyFont="1" applyFill="1" applyBorder="1" applyAlignment="1">
      <alignment horizontal="right"/>
    </xf>
    <xf numFmtId="0" fontId="170" fillId="50" borderId="0" xfId="0" applyFont="1" applyFill="1"/>
    <xf numFmtId="195" fontId="8" fillId="46" borderId="17" xfId="0" applyNumberFormat="1" applyFont="1" applyFill="1" applyBorder="1" applyAlignment="1">
      <alignment horizontal="right"/>
    </xf>
    <xf numFmtId="195" fontId="164" fillId="46" borderId="0" xfId="0" applyNumberFormat="1" applyFont="1" applyFill="1" applyAlignment="1">
      <alignment horizontal="right"/>
    </xf>
    <xf numFmtId="170" fontId="169" fillId="0" borderId="0" xfId="0" applyNumberFormat="1" applyFont="1"/>
    <xf numFmtId="0" fontId="176" fillId="0" borderId="35" xfId="0" applyFont="1" applyBorder="1"/>
    <xf numFmtId="0" fontId="177" fillId="46" borderId="0" xfId="0" applyFont="1" applyFill="1"/>
    <xf numFmtId="0" fontId="178" fillId="46" borderId="0" xfId="0" applyFont="1" applyFill="1" applyAlignment="1">
      <alignment horizontal="left"/>
    </xf>
    <xf numFmtId="170" fontId="10" fillId="46" borderId="26" xfId="0" applyNumberFormat="1" applyFont="1" applyFill="1" applyBorder="1"/>
    <xf numFmtId="4" fontId="10" fillId="46" borderId="35" xfId="0" applyNumberFormat="1" applyFont="1" applyFill="1" applyBorder="1" applyAlignment="1">
      <alignment horizontal="center" wrapText="1"/>
    </xf>
    <xf numFmtId="4" fontId="10" fillId="46" borderId="37" xfId="0" applyNumberFormat="1" applyFont="1" applyFill="1" applyBorder="1" applyAlignment="1">
      <alignment horizontal="center" wrapText="1"/>
    </xf>
    <xf numFmtId="4" fontId="10" fillId="46" borderId="38" xfId="0" applyNumberFormat="1" applyFont="1" applyFill="1" applyBorder="1" applyAlignment="1">
      <alignment horizontal="center" wrapText="1"/>
    </xf>
    <xf numFmtId="164" fontId="0" fillId="0" borderId="0" xfId="0" applyNumberFormat="1"/>
    <xf numFmtId="0" fontId="8" fillId="46" borderId="17" xfId="0" applyFont="1" applyFill="1" applyBorder="1" applyAlignment="1">
      <alignment horizontal="center" wrapText="1"/>
    </xf>
    <xf numFmtId="0" fontId="165" fillId="3" borderId="17" xfId="0" applyFont="1" applyFill="1" applyBorder="1"/>
    <xf numFmtId="169" fontId="165" fillId="3" borderId="17" xfId="0" applyNumberFormat="1" applyFont="1" applyFill="1" applyBorder="1" applyAlignment="1">
      <alignment horizontal="centerContinuous" vertical="center"/>
    </xf>
    <xf numFmtId="0" fontId="165" fillId="3" borderId="17" xfId="0" applyFont="1" applyFill="1" applyBorder="1" applyAlignment="1">
      <alignment horizontal="center"/>
    </xf>
    <xf numFmtId="0" fontId="165" fillId="3" borderId="17" xfId="0" applyFont="1" applyFill="1" applyBorder="1" applyAlignment="1">
      <alignment horizontal="center" wrapText="1"/>
    </xf>
    <xf numFmtId="164" fontId="165" fillId="3" borderId="17" xfId="0" applyNumberFormat="1" applyFont="1" applyFill="1" applyBorder="1"/>
    <xf numFmtId="0" fontId="165" fillId="3" borderId="17" xfId="0" applyFont="1" applyFill="1" applyBorder="1" applyAlignment="1">
      <alignment horizontal="centerContinuous"/>
    </xf>
    <xf numFmtId="4" fontId="165" fillId="3" borderId="26" xfId="0" applyNumberFormat="1" applyFont="1" applyFill="1" applyBorder="1" applyAlignment="1">
      <alignment horizontal="center"/>
    </xf>
    <xf numFmtId="4" fontId="165" fillId="3" borderId="33" xfId="0" applyNumberFormat="1" applyFont="1" applyFill="1" applyBorder="1" applyAlignment="1">
      <alignment horizontal="center"/>
    </xf>
    <xf numFmtId="168" fontId="7" fillId="0" borderId="0" xfId="0" applyNumberFormat="1" applyFont="1"/>
    <xf numFmtId="194" fontId="15" fillId="46" borderId="23" xfId="1216" applyNumberFormat="1" applyFont="1" applyFill="1" applyBorder="1" applyAlignment="1">
      <alignment horizontal="right" wrapText="1"/>
    </xf>
    <xf numFmtId="0" fontId="0" fillId="46" borderId="0" xfId="0" applyFont="1" applyFill="1"/>
    <xf numFmtId="0" fontId="11" fillId="0" borderId="66" xfId="0" applyFont="1" applyBorder="1" applyAlignment="1">
      <alignment horizontal="center" vertical="center" wrapText="1"/>
    </xf>
    <xf numFmtId="0" fontId="8" fillId="0" borderId="66" xfId="0" applyFont="1" applyBorder="1"/>
    <xf numFmtId="0" fontId="8" fillId="0" borderId="66" xfId="0" applyFont="1" applyBorder="1" applyAlignment="1">
      <alignment horizontal="center"/>
    </xf>
    <xf numFmtId="0" fontId="8" fillId="0" borderId="66" xfId="0" applyFont="1" applyBorder="1" applyAlignment="1"/>
    <xf numFmtId="194" fontId="13" fillId="51" borderId="66" xfId="1217" applyNumberFormat="1" applyFont="1" applyFill="1" applyBorder="1" applyAlignment="1">
      <alignment horizontal="center" vertical="top"/>
    </xf>
    <xf numFmtId="0" fontId="8" fillId="0" borderId="67" xfId="0" applyFont="1" applyBorder="1" applyAlignment="1">
      <alignment horizontal="center"/>
    </xf>
    <xf numFmtId="0" fontId="8" fillId="0" borderId="68" xfId="0" applyFont="1" applyBorder="1" applyAlignment="1">
      <alignment horizontal="left" vertical="center" indent="7"/>
    </xf>
    <xf numFmtId="0" fontId="11" fillId="0" borderId="66" xfId="0" applyFont="1" applyBorder="1" applyAlignment="1">
      <alignment horizontal="left" vertical="center" wrapText="1" indent="1"/>
    </xf>
    <xf numFmtId="0" fontId="8" fillId="0" borderId="66" xfId="0" applyFont="1" applyBorder="1" applyAlignment="1">
      <alignment horizontal="left" vertical="center" indent="1"/>
    </xf>
    <xf numFmtId="194" fontId="8" fillId="51" borderId="66" xfId="1217" applyNumberFormat="1" applyFont="1" applyFill="1" applyBorder="1" applyAlignment="1">
      <alignment horizontal="center" vertical="top"/>
    </xf>
    <xf numFmtId="199" fontId="8" fillId="0" borderId="66" xfId="0" applyNumberFormat="1" applyFont="1" applyBorder="1" applyAlignment="1">
      <alignment horizontal="left" vertical="center" wrapText="1" indent="1"/>
    </xf>
    <xf numFmtId="0" fontId="8" fillId="0" borderId="66" xfId="0" applyFont="1" applyBorder="1" applyAlignment="1">
      <alignment horizontal="center" wrapText="1"/>
    </xf>
    <xf numFmtId="194" fontId="8" fillId="51" borderId="66" xfId="1217" applyNumberFormat="1" applyFont="1" applyFill="1" applyBorder="1" applyAlignment="1">
      <alignment horizontal="center"/>
    </xf>
    <xf numFmtId="0" fontId="8" fillId="0" borderId="67" xfId="0" applyFont="1" applyBorder="1" applyAlignment="1">
      <alignment horizontal="left" vertical="center" indent="1"/>
    </xf>
    <xf numFmtId="0" fontId="11" fillId="0" borderId="67" xfId="0" applyFont="1" applyBorder="1" applyAlignment="1">
      <alignment horizontal="center" vertical="center" wrapText="1"/>
    </xf>
    <xf numFmtId="173" fontId="8" fillId="51" borderId="66" xfId="1217" applyNumberFormat="1" applyFont="1" applyFill="1" applyBorder="1" applyAlignment="1">
      <alignment horizontal="center" vertical="top"/>
    </xf>
    <xf numFmtId="199" fontId="8" fillId="0" borderId="0" xfId="0" applyNumberFormat="1" applyFont="1" applyAlignment="1">
      <alignment horizontal="center"/>
    </xf>
    <xf numFmtId="164" fontId="8" fillId="0" borderId="66" xfId="0" applyNumberFormat="1" applyFont="1" applyBorder="1" applyAlignment="1">
      <alignment horizontal="center" vertical="center"/>
    </xf>
    <xf numFmtId="173" fontId="8" fillId="51" borderId="66" xfId="1217" applyNumberFormat="1" applyFont="1" applyFill="1" applyBorder="1" applyAlignment="1">
      <alignment horizontal="center" vertical="center"/>
    </xf>
    <xf numFmtId="199" fontId="8" fillId="0" borderId="66" xfId="0" applyNumberFormat="1" applyFont="1" applyBorder="1" applyAlignment="1">
      <alignment horizontal="center" vertical="center"/>
    </xf>
    <xf numFmtId="173" fontId="13" fillId="51" borderId="66" xfId="1217" applyNumberFormat="1" applyFont="1" applyFill="1" applyBorder="1" applyAlignment="1">
      <alignment horizontal="center" vertical="top"/>
    </xf>
    <xf numFmtId="0" fontId="10" fillId="46" borderId="0" xfId="0" applyFont="1" applyFill="1" applyAlignment="1">
      <alignment horizontal="left"/>
    </xf>
    <xf numFmtId="0" fontId="45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0" fontId="94" fillId="46" borderId="0" xfId="0" applyFont="1" applyFill="1" applyAlignment="1">
      <alignment horizontal="centerContinuous"/>
    </xf>
    <xf numFmtId="0" fontId="97" fillId="46" borderId="0" xfId="0" quotePrefix="1" applyFont="1" applyFill="1" applyAlignment="1">
      <alignment horizontal="centerContinuous"/>
    </xf>
    <xf numFmtId="0" fontId="48" fillId="0" borderId="69" xfId="0" applyFont="1" applyBorder="1" applyAlignment="1">
      <alignment horizontal="centerContinuous"/>
    </xf>
    <xf numFmtId="0" fontId="20" fillId="0" borderId="17" xfId="0" applyFont="1" applyBorder="1" applyAlignment="1">
      <alignment horizontal="center"/>
    </xf>
    <xf numFmtId="169" fontId="15" fillId="46" borderId="0" xfId="0" applyNumberFormat="1" applyFont="1" applyFill="1"/>
    <xf numFmtId="0" fontId="13" fillId="0" borderId="17" xfId="0" applyFont="1" applyBorder="1" applyAlignment="1">
      <alignment horizontal="centerContinuous" vertical="center"/>
    </xf>
    <xf numFmtId="0" fontId="20" fillId="0" borderId="17" xfId="0" applyFont="1" applyBorder="1" applyAlignment="1">
      <alignment horizontal="centerContinuous" vertical="center"/>
    </xf>
    <xf numFmtId="169" fontId="20" fillId="0" borderId="17" xfId="0" applyNumberFormat="1" applyFont="1" applyBorder="1"/>
    <xf numFmtId="170" fontId="49" fillId="46" borderId="17" xfId="0" applyNumberFormat="1" applyFont="1" applyFill="1" applyBorder="1"/>
    <xf numFmtId="169" fontId="49" fillId="0" borderId="17" xfId="0" applyNumberFormat="1" applyFont="1" applyBorder="1"/>
    <xf numFmtId="170" fontId="49" fillId="0" borderId="17" xfId="0" applyNumberFormat="1" applyFont="1" applyBorder="1"/>
    <xf numFmtId="169" fontId="20" fillId="0" borderId="17" xfId="0" applyNumberFormat="1" applyFont="1" applyBorder="1" applyAlignment="1">
      <alignment horizontal="left"/>
    </xf>
    <xf numFmtId="169" fontId="49" fillId="46" borderId="17" xfId="0" applyNumberFormat="1" applyFont="1" applyFill="1" applyBorder="1"/>
    <xf numFmtId="0" fontId="20" fillId="46" borderId="17" xfId="0" applyFont="1" applyFill="1" applyBorder="1" applyAlignment="1">
      <alignment horizontal="centerContinuous" vertical="center"/>
    </xf>
    <xf numFmtId="0" fontId="13" fillId="46" borderId="23" xfId="0" applyFont="1" applyFill="1" applyBorder="1" applyAlignment="1">
      <alignment horizontal="centerContinuous" vertical="center"/>
    </xf>
    <xf numFmtId="0" fontId="10" fillId="46" borderId="23" xfId="0" applyFont="1" applyFill="1" applyBorder="1" applyAlignment="1">
      <alignment horizontal="centerContinuous" vertical="center"/>
    </xf>
    <xf numFmtId="170" fontId="176" fillId="46" borderId="23" xfId="0" applyNumberFormat="1" applyFont="1" applyFill="1" applyBorder="1" applyAlignment="1">
      <alignment horizontal="centerContinuous" vertical="center"/>
    </xf>
    <xf numFmtId="0" fontId="10" fillId="46" borderId="22" xfId="0" applyFont="1" applyFill="1" applyBorder="1" applyAlignment="1">
      <alignment horizontal="centerContinuous" vertical="center"/>
    </xf>
    <xf numFmtId="170" fontId="50" fillId="46" borderId="17" xfId="0" applyNumberFormat="1" applyFont="1" applyFill="1" applyBorder="1"/>
    <xf numFmtId="173" fontId="50" fillId="46" borderId="17" xfId="1216" applyNumberFormat="1" applyFont="1" applyFill="1" applyBorder="1" applyAlignment="1">
      <alignment horizontal="right" wrapText="1"/>
    </xf>
    <xf numFmtId="169" fontId="10" fillId="46" borderId="17" xfId="0" applyNumberFormat="1" applyFont="1" applyFill="1" applyBorder="1" applyAlignment="1">
      <alignment horizontal="left"/>
    </xf>
    <xf numFmtId="169" fontId="50" fillId="46" borderId="17" xfId="0" applyNumberFormat="1" applyFont="1" applyFill="1" applyBorder="1"/>
    <xf numFmtId="194" fontId="50" fillId="46" borderId="17" xfId="1216" applyNumberFormat="1" applyFont="1" applyFill="1" applyBorder="1" applyAlignment="1">
      <alignment horizontal="right" wrapText="1"/>
    </xf>
    <xf numFmtId="0" fontId="20" fillId="0" borderId="23" xfId="0" applyFont="1" applyBorder="1" applyAlignment="1">
      <alignment horizontal="centerContinuous" vertical="center"/>
    </xf>
    <xf numFmtId="0" fontId="57" fillId="0" borderId="30" xfId="0" applyFont="1" applyBorder="1" applyAlignment="1">
      <alignment horizontal="left" vertical="center"/>
    </xf>
    <xf numFmtId="0" fontId="20" fillId="0" borderId="24" xfId="0" applyFont="1" applyBorder="1" applyAlignment="1">
      <alignment horizontal="centerContinuous" vertical="center"/>
    </xf>
    <xf numFmtId="0" fontId="20" fillId="0" borderId="25" xfId="0" applyFont="1" applyBorder="1" applyAlignment="1">
      <alignment horizontal="centerContinuous" vertical="center"/>
    </xf>
    <xf numFmtId="0" fontId="13" fillId="0" borderId="23" xfId="0" applyFont="1" applyBorder="1" applyAlignment="1">
      <alignment horizontal="centerContinuous" vertical="center"/>
    </xf>
    <xf numFmtId="169" fontId="179" fillId="0" borderId="0" xfId="0" applyNumberFormat="1" applyFont="1"/>
    <xf numFmtId="0" fontId="180" fillId="46" borderId="0" xfId="0" applyFont="1" applyFill="1"/>
    <xf numFmtId="0" fontId="180" fillId="0" borderId="0" xfId="0" applyFont="1"/>
    <xf numFmtId="0" fontId="176" fillId="0" borderId="0" xfId="0" applyFont="1" applyAlignment="1">
      <alignment horizontal="right"/>
    </xf>
    <xf numFmtId="0" fontId="176" fillId="0" borderId="0" xfId="0" applyFont="1" applyAlignment="1">
      <alignment horizontal="left"/>
    </xf>
    <xf numFmtId="0" fontId="176" fillId="46" borderId="0" xfId="0" applyFont="1" applyFill="1"/>
    <xf numFmtId="0" fontId="8" fillId="46" borderId="0" xfId="0" applyFont="1" applyFill="1" applyAlignment="1">
      <alignment horizontal="left"/>
    </xf>
    <xf numFmtId="0" fontId="10" fillId="46" borderId="0" xfId="0" quotePrefix="1" applyFont="1" applyFill="1" applyAlignment="1">
      <alignment horizontal="centerContinuous"/>
    </xf>
    <xf numFmtId="10" fontId="164" fillId="46" borderId="0" xfId="0" applyNumberFormat="1" applyFont="1" applyFill="1"/>
    <xf numFmtId="0" fontId="15" fillId="46" borderId="0" xfId="0" applyFont="1" applyFill="1" applyAlignment="1">
      <alignment horizontal="right"/>
    </xf>
    <xf numFmtId="168" fontId="180" fillId="46" borderId="0" xfId="0" applyNumberFormat="1" applyFont="1" applyFill="1"/>
    <xf numFmtId="169" fontId="15" fillId="46" borderId="0" xfId="0" applyNumberFormat="1" applyFont="1" applyFill="1" applyAlignment="1">
      <alignment horizontal="right"/>
    </xf>
    <xf numFmtId="169" fontId="15" fillId="0" borderId="0" xfId="0" applyNumberFormat="1" applyFont="1"/>
    <xf numFmtId="0" fontId="66" fillId="0" borderId="0" xfId="1218" applyFont="1" applyBorder="1" applyAlignment="1">
      <alignment horizontal="centerContinuous" wrapText="1"/>
    </xf>
    <xf numFmtId="0" fontId="99" fillId="0" borderId="0" xfId="1176" applyFont="1" applyAlignment="1">
      <alignment horizontal="right"/>
    </xf>
    <xf numFmtId="0" fontId="181" fillId="48" borderId="0" xfId="1176" applyFont="1" applyFill="1"/>
    <xf numFmtId="0" fontId="182" fillId="46" borderId="0" xfId="1176" applyFont="1" applyFill="1"/>
    <xf numFmtId="0" fontId="183" fillId="0" borderId="0" xfId="1176" applyFont="1"/>
    <xf numFmtId="0" fontId="184" fillId="0" borderId="0" xfId="1176" applyFont="1"/>
    <xf numFmtId="164" fontId="181" fillId="48" borderId="0" xfId="1176" applyNumberFormat="1" applyFont="1" applyFill="1"/>
    <xf numFmtId="164" fontId="182" fillId="46" borderId="0" xfId="1176" applyNumberFormat="1" applyFont="1" applyFill="1"/>
    <xf numFmtId="164" fontId="184" fillId="0" borderId="0" xfId="1176" applyNumberFormat="1" applyFont="1"/>
    <xf numFmtId="0" fontId="0" fillId="0" borderId="22" xfId="0" applyBorder="1" applyAlignment="1">
      <alignment horizontal="center" vertical="center" wrapText="1"/>
    </xf>
    <xf numFmtId="44" fontId="185" fillId="48" borderId="0" xfId="931" applyFont="1" applyFill="1"/>
    <xf numFmtId="44" fontId="100" fillId="48" borderId="0" xfId="931" applyFont="1" applyFill="1" applyAlignment="1">
      <alignment horizontal="center" vertical="center" wrapText="1"/>
    </xf>
    <xf numFmtId="0" fontId="66" fillId="0" borderId="0" xfId="1215" applyFont="1" applyFill="1" applyAlignment="1">
      <alignment horizontal="centerContinuous" wrapText="1"/>
    </xf>
    <xf numFmtId="168" fontId="164" fillId="46" borderId="0" xfId="1211" applyNumberFormat="1" applyFont="1" applyFill="1" applyBorder="1" applyAlignment="1">
      <alignment vertical="top" wrapText="1"/>
    </xf>
    <xf numFmtId="0" fontId="59" fillId="0" borderId="0" xfId="0" applyFont="1" applyAlignment="1">
      <alignment horizontal="center"/>
    </xf>
    <xf numFmtId="0" fontId="186" fillId="0" borderId="0" xfId="0" applyFont="1" applyAlignment="1">
      <alignment horizontal="center"/>
    </xf>
    <xf numFmtId="0" fontId="10" fillId="46" borderId="17" xfId="0" applyFont="1" applyFill="1" applyBorder="1" applyAlignment="1">
      <alignment horizontal="center" vertical="top" wrapText="1"/>
    </xf>
    <xf numFmtId="0" fontId="10" fillId="46" borderId="17" xfId="0" applyFont="1" applyFill="1" applyBorder="1" applyAlignment="1">
      <alignment horizontal="centerContinuous" vertical="top" wrapText="1"/>
    </xf>
    <xf numFmtId="0" fontId="164" fillId="0" borderId="0" xfId="0" applyFont="1" applyBorder="1" applyAlignment="1">
      <alignment horizontal="center" vertical="top" wrapText="1"/>
    </xf>
    <xf numFmtId="0" fontId="50" fillId="46" borderId="17" xfId="1211" applyFont="1" applyFill="1" applyBorder="1" applyAlignment="1">
      <alignment wrapText="1"/>
    </xf>
    <xf numFmtId="200" fontId="8" fillId="46" borderId="17" xfId="1211" applyNumberFormat="1" applyFont="1" applyFill="1" applyBorder="1" applyAlignment="1">
      <alignment horizontal="center" wrapText="1"/>
    </xf>
    <xf numFmtId="0" fontId="8" fillId="46" borderId="17" xfId="1211" applyFont="1" applyFill="1" applyBorder="1" applyAlignment="1">
      <alignment horizontal="center" wrapText="1"/>
    </xf>
    <xf numFmtId="168" fontId="164" fillId="0" borderId="0" xfId="1211" applyNumberFormat="1" applyFont="1" applyBorder="1" applyAlignment="1">
      <alignment vertical="top" wrapText="1"/>
    </xf>
    <xf numFmtId="168" fontId="23" fillId="0" borderId="0" xfId="1211" applyNumberFormat="1" applyFont="1" applyBorder="1" applyAlignment="1">
      <alignment horizontal="right" vertical="top" wrapText="1"/>
    </xf>
    <xf numFmtId="0" fontId="10" fillId="0" borderId="0" xfId="0" applyFont="1" applyAlignment="1"/>
    <xf numFmtId="0" fontId="13" fillId="46" borderId="17" xfId="1211" applyFont="1" applyFill="1" applyBorder="1" applyAlignment="1">
      <alignment horizontal="center" wrapText="1"/>
    </xf>
    <xf numFmtId="0" fontId="12" fillId="46" borderId="17" xfId="1211" applyFont="1" applyFill="1" applyBorder="1" applyAlignment="1">
      <alignment horizontal="centerContinuous" wrapText="1"/>
    </xf>
    <xf numFmtId="0" fontId="50" fillId="46" borderId="23" xfId="1211" applyFont="1" applyFill="1" applyBorder="1" applyAlignment="1">
      <alignment wrapText="1"/>
    </xf>
    <xf numFmtId="0" fontId="65" fillId="0" borderId="17" xfId="0" applyFont="1" applyBorder="1" applyAlignment="1">
      <alignment horizontal="centerContinuous" vertical="center" wrapText="1"/>
    </xf>
    <xf numFmtId="4" fontId="50" fillId="46" borderId="17" xfId="1211" applyNumberFormat="1" applyFont="1" applyFill="1" applyBorder="1" applyAlignment="1">
      <alignment wrapText="1"/>
    </xf>
    <xf numFmtId="4" fontId="50" fillId="46" borderId="23" xfId="1211" applyNumberFormat="1" applyFont="1" applyFill="1" applyBorder="1" applyAlignment="1">
      <alignment wrapText="1"/>
    </xf>
    <xf numFmtId="4" fontId="12" fillId="46" borderId="17" xfId="1211" applyNumberFormat="1" applyFont="1" applyFill="1" applyBorder="1" applyAlignment="1">
      <alignment wrapText="1"/>
    </xf>
    <xf numFmtId="4" fontId="172" fillId="0" borderId="0" xfId="1211" applyNumberFormat="1" applyFont="1" applyBorder="1" applyAlignment="1">
      <alignment wrapText="1"/>
    </xf>
    <xf numFmtId="0" fontId="10" fillId="0" borderId="6" xfId="0" applyFont="1" applyBorder="1"/>
    <xf numFmtId="0" fontId="65" fillId="0" borderId="0" xfId="0" applyFont="1" applyBorder="1" applyAlignment="1">
      <alignment horizontal="centerContinuous" vertical="center" wrapText="1"/>
    </xf>
    <xf numFmtId="200" fontId="8" fillId="46" borderId="0" xfId="1211" applyNumberFormat="1" applyFont="1" applyFill="1" applyBorder="1" applyAlignment="1">
      <alignment horizontal="center" wrapText="1"/>
    </xf>
    <xf numFmtId="0" fontId="13" fillId="46" borderId="0" xfId="1211" applyFont="1" applyFill="1" applyBorder="1" applyAlignment="1">
      <alignment horizontal="center" wrapText="1"/>
    </xf>
    <xf numFmtId="4" fontId="12" fillId="46" borderId="0" xfId="1211" applyNumberFormat="1" applyFont="1" applyFill="1" applyBorder="1" applyAlignment="1">
      <alignment wrapText="1"/>
    </xf>
    <xf numFmtId="164" fontId="164" fillId="0" borderId="0" xfId="0" applyNumberFormat="1" applyFont="1"/>
    <xf numFmtId="0" fontId="187" fillId="0" borderId="0" xfId="0" applyFont="1"/>
    <xf numFmtId="0" fontId="10" fillId="0" borderId="0" xfId="0" applyFont="1" applyFill="1" applyAlignment="1">
      <alignment vertical="center"/>
    </xf>
    <xf numFmtId="0" fontId="48" fillId="46" borderId="17" xfId="1211" applyFont="1" applyFill="1" applyBorder="1" applyAlignment="1">
      <alignment vertical="center" wrapText="1"/>
    </xf>
    <xf numFmtId="0" fontId="50" fillId="46" borderId="17" xfId="1211" applyFont="1" applyFill="1" applyBorder="1" applyAlignment="1">
      <alignment vertical="center" wrapText="1"/>
    </xf>
    <xf numFmtId="173" fontId="48" fillId="46" borderId="17" xfId="1216" applyNumberFormat="1" applyFont="1" applyFill="1" applyBorder="1" applyAlignment="1">
      <alignment horizontal="right" vertical="center" wrapText="1"/>
    </xf>
    <xf numFmtId="0" fontId="188" fillId="46" borderId="23" xfId="1211" applyFont="1" applyFill="1" applyBorder="1" applyAlignment="1">
      <alignment vertical="center" wrapText="1"/>
    </xf>
    <xf numFmtId="173" fontId="10" fillId="0" borderId="0" xfId="0" applyNumberFormat="1" applyFont="1" applyFill="1"/>
    <xf numFmtId="0" fontId="175" fillId="46" borderId="23" xfId="1211" applyFont="1" applyFill="1" applyBorder="1" applyAlignment="1">
      <alignment vertical="center" wrapText="1"/>
    </xf>
    <xf numFmtId="0" fontId="189" fillId="46" borderId="23" xfId="1211" applyFont="1" applyFill="1" applyBorder="1" applyAlignment="1">
      <alignment vertical="center" wrapText="1"/>
    </xf>
    <xf numFmtId="0" fontId="189" fillId="44" borderId="23" xfId="1211" applyFont="1" applyFill="1" applyBorder="1" applyAlignment="1">
      <alignment vertical="center" wrapText="1"/>
    </xf>
    <xf numFmtId="0" fontId="48" fillId="44" borderId="17" xfId="1211" applyFont="1" applyFill="1" applyBorder="1" applyAlignment="1">
      <alignment vertical="center" wrapText="1"/>
    </xf>
    <xf numFmtId="0" fontId="175" fillId="44" borderId="23" xfId="1211" applyFont="1" applyFill="1" applyBorder="1" applyAlignment="1">
      <alignment vertical="center" wrapText="1"/>
    </xf>
    <xf numFmtId="0" fontId="50" fillId="44" borderId="17" xfId="1211" applyFont="1" applyFill="1" applyBorder="1" applyAlignment="1">
      <alignment vertical="center" wrapText="1"/>
    </xf>
    <xf numFmtId="0" fontId="10" fillId="44" borderId="17" xfId="1211" applyFont="1" applyFill="1" applyBorder="1" applyAlignment="1">
      <alignment vertical="center" wrapText="1"/>
    </xf>
    <xf numFmtId="173" fontId="48" fillId="44" borderId="17" xfId="1216" applyNumberFormat="1" applyFont="1" applyFill="1" applyBorder="1" applyAlignment="1">
      <alignment horizontal="right" vertical="center" wrapText="1"/>
    </xf>
    <xf numFmtId="173" fontId="10" fillId="44" borderId="17" xfId="1216" applyNumberFormat="1" applyFont="1" applyFill="1" applyBorder="1" applyAlignment="1">
      <alignment horizontal="right" vertical="center" wrapText="1"/>
    </xf>
    <xf numFmtId="0" fontId="75" fillId="28" borderId="17" xfId="0" applyFont="1" applyFill="1" applyBorder="1" applyAlignment="1">
      <alignment vertical="center"/>
    </xf>
    <xf numFmtId="0" fontId="176" fillId="46" borderId="17" xfId="1211" applyFont="1" applyFill="1" applyBorder="1" applyAlignment="1">
      <alignment vertical="center" wrapText="1"/>
    </xf>
    <xf numFmtId="173" fontId="10" fillId="46" borderId="0" xfId="0" applyNumberFormat="1" applyFont="1" applyFill="1"/>
    <xf numFmtId="170" fontId="75" fillId="28" borderId="17" xfId="0" applyNumberFormat="1" applyFont="1" applyFill="1" applyBorder="1" applyAlignment="1">
      <alignment vertical="center"/>
    </xf>
    <xf numFmtId="0" fontId="50" fillId="0" borderId="0" xfId="0" applyFont="1" applyAlignment="1">
      <alignment horizontal="right"/>
    </xf>
    <xf numFmtId="164" fontId="48" fillId="28" borderId="0" xfId="0" applyNumberFormat="1" applyFont="1" applyFill="1" applyAlignment="1">
      <alignment horizontal="left"/>
    </xf>
    <xf numFmtId="0" fontId="188" fillId="48" borderId="23" xfId="1211" applyFont="1" applyFill="1" applyBorder="1" applyAlignment="1">
      <alignment vertical="center" wrapText="1"/>
    </xf>
    <xf numFmtId="0" fontId="176" fillId="48" borderId="17" xfId="1211" applyFont="1" applyFill="1" applyBorder="1" applyAlignment="1">
      <alignment vertical="center" wrapText="1"/>
    </xf>
    <xf numFmtId="0" fontId="8" fillId="48" borderId="17" xfId="1211" applyFont="1" applyFill="1" applyBorder="1" applyAlignment="1">
      <alignment horizontal="center" vertical="center" wrapText="1"/>
    </xf>
    <xf numFmtId="173" fontId="176" fillId="48" borderId="17" xfId="1216" applyNumberFormat="1" applyFont="1" applyFill="1" applyBorder="1" applyAlignment="1">
      <alignment horizontal="right" vertical="center" wrapText="1"/>
    </xf>
    <xf numFmtId="0" fontId="10" fillId="48" borderId="0" xfId="0" applyFont="1" applyFill="1" applyAlignment="1">
      <alignment vertical="center"/>
    </xf>
    <xf numFmtId="173" fontId="48" fillId="46" borderId="0" xfId="0" applyNumberFormat="1" applyFont="1" applyFill="1"/>
    <xf numFmtId="173" fontId="10" fillId="46" borderId="17" xfId="1216" applyNumberFormat="1" applyFont="1" applyFill="1" applyBorder="1" applyAlignment="1">
      <alignment horizontal="right" wrapText="1"/>
    </xf>
    <xf numFmtId="173" fontId="10" fillId="46" borderId="34" xfId="1216" applyNumberFormat="1" applyFont="1" applyFill="1" applyBorder="1" applyAlignment="1">
      <alignment horizontal="right" wrapText="1"/>
    </xf>
    <xf numFmtId="0" fontId="8" fillId="46" borderId="0" xfId="0" applyFont="1" applyFill="1" applyAlignment="1">
      <alignment horizontal="center"/>
    </xf>
    <xf numFmtId="0" fontId="8" fillId="46" borderId="22" xfId="0" applyFont="1" applyFill="1" applyBorder="1" applyAlignment="1">
      <alignment horizontal="center" vertical="top" wrapText="1"/>
    </xf>
    <xf numFmtId="0" fontId="8" fillId="46" borderId="25" xfId="0" applyFont="1" applyFill="1" applyBorder="1" applyAlignment="1">
      <alignment wrapText="1"/>
    </xf>
    <xf numFmtId="0" fontId="8" fillId="46" borderId="25" xfId="0" applyFont="1" applyFill="1" applyBorder="1" applyAlignment="1">
      <alignment horizontal="left" vertical="top" wrapText="1"/>
    </xf>
    <xf numFmtId="0" fontId="8" fillId="46" borderId="0" xfId="0" applyFont="1" applyFill="1" applyAlignment="1">
      <alignment horizontal="justify"/>
    </xf>
    <xf numFmtId="0" fontId="10" fillId="0" borderId="23" xfId="0" applyFont="1" applyBorder="1" applyAlignment="1">
      <alignment horizontal="center" vertical="top" wrapText="1"/>
    </xf>
    <xf numFmtId="0" fontId="10" fillId="0" borderId="20" xfId="0" applyFont="1" applyBorder="1" applyAlignment="1">
      <alignment horizontal="center" vertical="top" wrapText="1"/>
    </xf>
    <xf numFmtId="0" fontId="10" fillId="0" borderId="22" xfId="0" applyFont="1" applyBorder="1" applyAlignment="1">
      <alignment horizontal="center" vertical="top" wrapText="1"/>
    </xf>
    <xf numFmtId="0" fontId="10" fillId="0" borderId="22" xfId="0" applyFont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172" fontId="8" fillId="46" borderId="0" xfId="0" applyNumberFormat="1" applyFont="1" applyFill="1"/>
    <xf numFmtId="10" fontId="8" fillId="46" borderId="0" xfId="0" applyNumberFormat="1" applyFont="1" applyFill="1"/>
    <xf numFmtId="169" fontId="8" fillId="46" borderId="0" xfId="0" applyNumberFormat="1" applyFont="1" applyFill="1"/>
    <xf numFmtId="3" fontId="8" fillId="46" borderId="0" xfId="0" applyNumberFormat="1" applyFont="1" applyFill="1"/>
    <xf numFmtId="193" fontId="8" fillId="46" borderId="0" xfId="0" applyNumberFormat="1" applyFont="1" applyFill="1"/>
    <xf numFmtId="0" fontId="67" fillId="0" borderId="0" xfId="0" applyFont="1" applyAlignment="1">
      <alignment horizontal="left"/>
    </xf>
    <xf numFmtId="0" fontId="8" fillId="0" borderId="0" xfId="0" applyFont="1" applyBorder="1" applyAlignment="1">
      <alignment horizontal="center" vertical="top" wrapText="1"/>
    </xf>
    <xf numFmtId="4" fontId="164" fillId="33" borderId="0" xfId="0" applyNumberFormat="1" applyFont="1" applyFill="1" applyBorder="1" applyAlignment="1">
      <alignment horizontal="center" wrapText="1"/>
    </xf>
    <xf numFmtId="3" fontId="164" fillId="33" borderId="0" xfId="0" applyNumberFormat="1" applyFont="1" applyFill="1"/>
    <xf numFmtId="4" fontId="13" fillId="46" borderId="0" xfId="0" applyNumberFormat="1" applyFont="1" applyFill="1" applyAlignment="1">
      <alignment horizontal="right"/>
    </xf>
    <xf numFmtId="170" fontId="13" fillId="46" borderId="0" xfId="0" applyNumberFormat="1" applyFont="1" applyFill="1" applyAlignment="1">
      <alignment horizontal="right"/>
    </xf>
    <xf numFmtId="10" fontId="8" fillId="33" borderId="0" xfId="0" applyNumberFormat="1" applyFont="1" applyFill="1"/>
    <xf numFmtId="0" fontId="8" fillId="33" borderId="0" xfId="0" applyFont="1" applyFill="1" applyAlignment="1">
      <alignment horizontal="center"/>
    </xf>
    <xf numFmtId="169" fontId="8" fillId="33" borderId="0" xfId="0" applyNumberFormat="1" applyFont="1" applyFill="1"/>
    <xf numFmtId="193" fontId="8" fillId="46" borderId="26" xfId="1216" applyNumberFormat="1" applyFont="1" applyFill="1" applyBorder="1" applyAlignment="1">
      <alignment horizontal="right"/>
    </xf>
    <xf numFmtId="193" fontId="8" fillId="46" borderId="23" xfId="1216" applyNumberFormat="1" applyFont="1" applyFill="1" applyBorder="1" applyAlignment="1">
      <alignment horizontal="right" vertical="center"/>
    </xf>
    <xf numFmtId="193" fontId="8" fillId="46" borderId="26" xfId="1216" applyNumberFormat="1" applyFont="1" applyFill="1" applyBorder="1" applyAlignment="1">
      <alignment horizontal="right" vertical="top"/>
    </xf>
    <xf numFmtId="193" fontId="8" fillId="48" borderId="26" xfId="1216" applyNumberFormat="1" applyFont="1" applyFill="1" applyBorder="1" applyAlignment="1">
      <alignment horizontal="right"/>
    </xf>
    <xf numFmtId="4" fontId="8" fillId="44" borderId="33" xfId="0" applyNumberFormat="1" applyFont="1" applyFill="1" applyBorder="1" applyAlignment="1">
      <alignment horizontal="centerContinuous"/>
    </xf>
    <xf numFmtId="0" fontId="8" fillId="43" borderId="71" xfId="0" applyFont="1" applyFill="1" applyBorder="1" applyAlignment="1">
      <alignment wrapText="1"/>
    </xf>
    <xf numFmtId="4" fontId="164" fillId="43" borderId="72" xfId="0" applyNumberFormat="1" applyFont="1" applyFill="1" applyBorder="1"/>
    <xf numFmtId="4" fontId="8" fillId="43" borderId="72" xfId="0" applyNumberFormat="1" applyFont="1" applyFill="1" applyBorder="1"/>
    <xf numFmtId="4" fontId="171" fillId="48" borderId="0" xfId="0" applyNumberFormat="1" applyFont="1" applyFill="1"/>
    <xf numFmtId="194" fontId="8" fillId="46" borderId="26" xfId="1216" applyNumberFormat="1" applyFont="1" applyFill="1" applyBorder="1" applyAlignment="1">
      <alignment horizontal="right" vertical="top"/>
    </xf>
    <xf numFmtId="194" fontId="8" fillId="46" borderId="26" xfId="1216" applyNumberFormat="1" applyFont="1" applyFill="1" applyBorder="1" applyAlignment="1">
      <alignment horizontal="right"/>
    </xf>
    <xf numFmtId="195" fontId="8" fillId="46" borderId="26" xfId="1216" applyNumberFormat="1" applyFont="1" applyFill="1" applyBorder="1" applyAlignment="1">
      <alignment horizontal="right"/>
    </xf>
    <xf numFmtId="173" fontId="50" fillId="46" borderId="34" xfId="1216" applyNumberFormat="1" applyFont="1" applyFill="1" applyBorder="1" applyAlignment="1">
      <alignment horizontal="right" wrapText="1"/>
    </xf>
    <xf numFmtId="0" fontId="10" fillId="0" borderId="48" xfId="0" applyFont="1" applyBorder="1" applyAlignment="1">
      <alignment horizontal="center" vertical="center"/>
    </xf>
    <xf numFmtId="0" fontId="13" fillId="46" borderId="17" xfId="0" applyFont="1" applyFill="1" applyBorder="1" applyAlignment="1">
      <alignment horizontal="center" wrapText="1"/>
    </xf>
    <xf numFmtId="170" fontId="10" fillId="46" borderId="33" xfId="0" applyNumberFormat="1" applyFont="1" applyFill="1" applyBorder="1" applyAlignment="1">
      <alignment horizontal="center"/>
    </xf>
    <xf numFmtId="170" fontId="10" fillId="46" borderId="36" xfId="0" applyNumberFormat="1" applyFont="1" applyFill="1" applyBorder="1" applyAlignment="1">
      <alignment horizontal="center"/>
    </xf>
    <xf numFmtId="169" fontId="10" fillId="0" borderId="0" xfId="0" applyNumberFormat="1" applyFont="1"/>
    <xf numFmtId="170" fontId="13" fillId="0" borderId="0" xfId="0" applyNumberFormat="1" applyFont="1" applyBorder="1"/>
    <xf numFmtId="4" fontId="8" fillId="43" borderId="73" xfId="0" applyNumberFormat="1" applyFont="1" applyFill="1" applyBorder="1"/>
    <xf numFmtId="173" fontId="10" fillId="46" borderId="74" xfId="1216" applyNumberFormat="1" applyFont="1" applyFill="1" applyBorder="1" applyAlignment="1">
      <alignment horizontal="right" vertical="top"/>
    </xf>
    <xf numFmtId="173" fontId="10" fillId="46" borderId="35" xfId="1216" applyNumberFormat="1" applyFont="1" applyFill="1" applyBorder="1" applyAlignment="1">
      <alignment horizontal="right" vertical="top"/>
    </xf>
    <xf numFmtId="4" fontId="190" fillId="49" borderId="32" xfId="0" applyNumberFormat="1" applyFont="1" applyFill="1" applyBorder="1" applyAlignment="1">
      <alignment horizontal="center"/>
    </xf>
    <xf numFmtId="4" fontId="190" fillId="49" borderId="17" xfId="0" applyNumberFormat="1" applyFont="1" applyFill="1" applyBorder="1" applyAlignment="1">
      <alignment horizontal="center"/>
    </xf>
    <xf numFmtId="173" fontId="50" fillId="46" borderId="32" xfId="1216" applyNumberFormat="1" applyFont="1" applyFill="1" applyBorder="1" applyAlignment="1">
      <alignment horizontal="right" wrapText="1"/>
    </xf>
    <xf numFmtId="4" fontId="190" fillId="49" borderId="32" xfId="0" applyNumberFormat="1" applyFont="1" applyFill="1" applyBorder="1" applyAlignment="1">
      <alignment horizontal="center" wrapText="1"/>
    </xf>
    <xf numFmtId="4" fontId="190" fillId="49" borderId="17" xfId="0" applyNumberFormat="1" applyFont="1" applyFill="1" applyBorder="1" applyAlignment="1">
      <alignment horizontal="center" wrapText="1"/>
    </xf>
    <xf numFmtId="4" fontId="190" fillId="49" borderId="34" xfId="0" applyNumberFormat="1" applyFont="1" applyFill="1" applyBorder="1" applyAlignment="1">
      <alignment horizontal="center"/>
    </xf>
    <xf numFmtId="4" fontId="190" fillId="49" borderId="35" xfId="0" applyNumberFormat="1" applyFont="1" applyFill="1" applyBorder="1" applyAlignment="1">
      <alignment horizontal="center" wrapText="1"/>
    </xf>
    <xf numFmtId="4" fontId="190" fillId="49" borderId="37" xfId="0" applyNumberFormat="1" applyFont="1" applyFill="1" applyBorder="1" applyAlignment="1">
      <alignment horizontal="center" wrapText="1"/>
    </xf>
    <xf numFmtId="4" fontId="190" fillId="49" borderId="38" xfId="0" applyNumberFormat="1" applyFont="1" applyFill="1" applyBorder="1" applyAlignment="1">
      <alignment horizontal="center"/>
    </xf>
    <xf numFmtId="170" fontId="190" fillId="49" borderId="32" xfId="0" applyNumberFormat="1" applyFont="1" applyFill="1" applyBorder="1"/>
    <xf numFmtId="170" fontId="13" fillId="0" borderId="0" xfId="0" applyNumberFormat="1" applyFont="1"/>
    <xf numFmtId="170" fontId="10" fillId="46" borderId="35" xfId="0" applyNumberFormat="1" applyFont="1" applyFill="1" applyBorder="1" applyAlignment="1">
      <alignment horizontal="right" wrapText="1"/>
    </xf>
    <xf numFmtId="170" fontId="10" fillId="46" borderId="37" xfId="0" applyNumberFormat="1" applyFont="1" applyFill="1" applyBorder="1" applyAlignment="1">
      <alignment horizontal="right" wrapText="1"/>
    </xf>
    <xf numFmtId="3" fontId="13" fillId="46" borderId="17" xfId="0" applyNumberFormat="1" applyFont="1" applyFill="1" applyBorder="1" applyAlignment="1">
      <alignment horizontal="center" wrapText="1"/>
    </xf>
    <xf numFmtId="3" fontId="13" fillId="46" borderId="37" xfId="0" applyNumberFormat="1" applyFont="1" applyFill="1" applyBorder="1" applyAlignment="1">
      <alignment horizontal="center" wrapText="1"/>
    </xf>
    <xf numFmtId="173" fontId="12" fillId="46" borderId="34" xfId="1216" applyNumberFormat="1" applyFont="1" applyFill="1" applyBorder="1" applyAlignment="1">
      <alignment horizontal="right" wrapText="1"/>
    </xf>
    <xf numFmtId="0" fontId="10" fillId="0" borderId="53" xfId="0" applyFont="1" applyBorder="1" applyAlignment="1">
      <alignment horizontal="center"/>
    </xf>
    <xf numFmtId="3" fontId="13" fillId="46" borderId="22" xfId="0" applyNumberFormat="1" applyFont="1" applyFill="1" applyBorder="1" applyAlignment="1">
      <alignment horizontal="center" wrapText="1"/>
    </xf>
    <xf numFmtId="4" fontId="190" fillId="49" borderId="31" xfId="0" applyNumberFormat="1" applyFont="1" applyFill="1" applyBorder="1" applyAlignment="1">
      <alignment horizontal="center" wrapText="1"/>
    </xf>
    <xf numFmtId="4" fontId="190" fillId="49" borderId="22" xfId="0" applyNumberFormat="1" applyFont="1" applyFill="1" applyBorder="1" applyAlignment="1">
      <alignment horizontal="center" wrapText="1"/>
    </xf>
    <xf numFmtId="170" fontId="10" fillId="46" borderId="31" xfId="0" applyNumberFormat="1" applyFont="1" applyFill="1" applyBorder="1"/>
    <xf numFmtId="170" fontId="10" fillId="46" borderId="22" xfId="0" applyNumberFormat="1" applyFont="1" applyFill="1" applyBorder="1"/>
    <xf numFmtId="170" fontId="10" fillId="46" borderId="61" xfId="0" applyNumberFormat="1" applyFont="1" applyFill="1" applyBorder="1"/>
    <xf numFmtId="170" fontId="10" fillId="46" borderId="25" xfId="0" applyNumberFormat="1" applyFont="1" applyFill="1" applyBorder="1"/>
    <xf numFmtId="0" fontId="48" fillId="0" borderId="49" xfId="0" applyFont="1" applyBorder="1" applyAlignment="1">
      <alignment horizontal="center"/>
    </xf>
    <xf numFmtId="0" fontId="48" fillId="46" borderId="50" xfId="0" applyFont="1" applyFill="1" applyBorder="1" applyAlignment="1">
      <alignment wrapText="1"/>
    </xf>
    <xf numFmtId="0" fontId="10" fillId="46" borderId="50" xfId="0" applyFont="1" applyFill="1" applyBorder="1"/>
    <xf numFmtId="0" fontId="10" fillId="46" borderId="75" xfId="0" applyFont="1" applyFill="1" applyBorder="1"/>
    <xf numFmtId="0" fontId="8" fillId="46" borderId="49" xfId="0" applyFont="1" applyFill="1" applyBorder="1" applyAlignment="1">
      <alignment horizontal="center"/>
    </xf>
    <xf numFmtId="0" fontId="8" fillId="46" borderId="50" xfId="0" applyFont="1" applyFill="1" applyBorder="1" applyAlignment="1">
      <alignment horizontal="center"/>
    </xf>
    <xf numFmtId="0" fontId="8" fillId="46" borderId="51" xfId="0" applyFont="1" applyFill="1" applyBorder="1" applyAlignment="1">
      <alignment horizontal="center"/>
    </xf>
    <xf numFmtId="170" fontId="48" fillId="46" borderId="49" xfId="0" applyNumberFormat="1" applyFont="1" applyFill="1" applyBorder="1"/>
    <xf numFmtId="170" fontId="48" fillId="46" borderId="50" xfId="0" applyNumberFormat="1" applyFont="1" applyFill="1" applyBorder="1"/>
    <xf numFmtId="170" fontId="48" fillId="46" borderId="51" xfId="0" applyNumberFormat="1" applyFont="1" applyFill="1" applyBorder="1"/>
    <xf numFmtId="173" fontId="50" fillId="46" borderId="49" xfId="1216" applyNumberFormat="1" applyFont="1" applyFill="1" applyBorder="1" applyAlignment="1">
      <alignment horizontal="right" wrapText="1"/>
    </xf>
    <xf numFmtId="173" fontId="50" fillId="46" borderId="50" xfId="1216" applyNumberFormat="1" applyFont="1" applyFill="1" applyBorder="1" applyAlignment="1">
      <alignment horizontal="right" wrapText="1"/>
    </xf>
    <xf numFmtId="0" fontId="48" fillId="46" borderId="76" xfId="0" applyFont="1" applyFill="1" applyBorder="1" applyAlignment="1">
      <alignment horizontal="centerContinuous" vertical="center"/>
    </xf>
    <xf numFmtId="173" fontId="10" fillId="46" borderId="38" xfId="1216" applyNumberFormat="1" applyFont="1" applyFill="1" applyBorder="1" applyAlignment="1">
      <alignment horizontal="right" vertical="top"/>
    </xf>
    <xf numFmtId="0" fontId="8" fillId="48" borderId="17" xfId="0" applyFont="1" applyFill="1" applyBorder="1" applyAlignment="1">
      <alignment horizontal="center" vertical="top" wrapText="1"/>
    </xf>
    <xf numFmtId="173" fontId="8" fillId="48" borderId="17" xfId="1216" applyNumberFormat="1" applyFont="1" applyFill="1" applyBorder="1" applyAlignment="1">
      <alignment horizontal="right" wrapText="1"/>
    </xf>
    <xf numFmtId="0" fontId="16" fillId="48" borderId="0" xfId="0" applyFont="1" applyFill="1"/>
    <xf numFmtId="0" fontId="89" fillId="48" borderId="0" xfId="0" applyFont="1" applyFill="1" applyAlignment="1">
      <alignment horizontal="centerContinuous" wrapText="1"/>
    </xf>
    <xf numFmtId="0" fontId="8" fillId="48" borderId="0" xfId="0" applyFont="1" applyFill="1" applyAlignment="1">
      <alignment horizontal="centerContinuous" wrapText="1"/>
    </xf>
    <xf numFmtId="0" fontId="0" fillId="48" borderId="0" xfId="0" applyFont="1" applyFill="1" applyAlignment="1">
      <alignment horizontal="centerContinuous" wrapText="1"/>
    </xf>
    <xf numFmtId="0" fontId="89" fillId="48" borderId="0" xfId="0" applyFont="1" applyFill="1" applyAlignment="1">
      <alignment horizontal="centerContinuous"/>
    </xf>
    <xf numFmtId="170" fontId="15" fillId="46" borderId="0" xfId="0" applyNumberFormat="1" applyFont="1" applyFill="1"/>
    <xf numFmtId="0" fontId="8" fillId="0" borderId="0" xfId="1181" applyFont="1" applyAlignment="1"/>
    <xf numFmtId="0" fontId="171" fillId="0" borderId="0" xfId="1181" applyFont="1" applyAlignment="1"/>
    <xf numFmtId="168" fontId="8" fillId="0" borderId="0" xfId="1181" applyNumberFormat="1" applyFont="1"/>
    <xf numFmtId="0" fontId="22" fillId="0" borderId="0" xfId="1181" applyFont="1"/>
    <xf numFmtId="0" fontId="22" fillId="0" borderId="0" xfId="1181"/>
    <xf numFmtId="0" fontId="191" fillId="0" borderId="0" xfId="1181" applyFont="1"/>
    <xf numFmtId="0" fontId="8" fillId="0" borderId="0" xfId="1181" applyFont="1"/>
    <xf numFmtId="0" fontId="176" fillId="0" borderId="0" xfId="1181" applyFont="1" applyAlignment="1"/>
    <xf numFmtId="168" fontId="10" fillId="0" borderId="0" xfId="1181" applyNumberFormat="1" applyFont="1"/>
    <xf numFmtId="0" fontId="102" fillId="0" borderId="0" xfId="1181" applyFont="1"/>
    <xf numFmtId="0" fontId="192" fillId="0" borderId="0" xfId="1181" applyFont="1"/>
    <xf numFmtId="0" fontId="10" fillId="0" borderId="0" xfId="1181" applyFont="1"/>
    <xf numFmtId="168" fontId="48" fillId="0" borderId="0" xfId="1181" applyNumberFormat="1" applyFont="1" applyAlignment="1">
      <alignment horizontal="right"/>
    </xf>
    <xf numFmtId="168" fontId="48" fillId="0" borderId="0" xfId="1181" applyNumberFormat="1" applyFont="1" applyAlignment="1">
      <alignment horizontal="left"/>
    </xf>
    <xf numFmtId="0" fontId="8" fillId="0" borderId="0" xfId="1181" applyFont="1" applyAlignment="1">
      <alignment horizontal="right"/>
    </xf>
    <xf numFmtId="169" fontId="191" fillId="0" borderId="0" xfId="1181" applyNumberFormat="1" applyFont="1"/>
    <xf numFmtId="0" fontId="11" fillId="0" borderId="0" xfId="1181" applyFont="1" applyAlignment="1">
      <alignment horizontal="right"/>
    </xf>
    <xf numFmtId="0" fontId="8" fillId="0" borderId="66" xfId="1181" applyFont="1" applyBorder="1" applyAlignment="1">
      <alignment horizontal="center" vertical="top" wrapText="1"/>
    </xf>
    <xf numFmtId="0" fontId="8" fillId="46" borderId="0" xfId="1181" applyFont="1" applyFill="1"/>
    <xf numFmtId="0" fontId="191" fillId="46" borderId="0" xfId="1181" applyFont="1" applyFill="1"/>
    <xf numFmtId="0" fontId="22" fillId="46" borderId="0" xfId="1181" applyFill="1"/>
    <xf numFmtId="0" fontId="8" fillId="0" borderId="66" xfId="1181" applyFont="1" applyBorder="1" applyAlignment="1">
      <alignment horizontal="center"/>
    </xf>
    <xf numFmtId="1" fontId="8" fillId="0" borderId="66" xfId="1181" applyNumberFormat="1" applyFont="1" applyBorder="1" applyAlignment="1">
      <alignment horizontal="center"/>
    </xf>
    <xf numFmtId="49" fontId="8" fillId="0" borderId="66" xfId="1181" applyNumberFormat="1" applyFont="1" applyBorder="1" applyAlignment="1">
      <alignment horizontal="center"/>
    </xf>
    <xf numFmtId="0" fontId="8" fillId="0" borderId="77" xfId="1181" applyFont="1" applyBorder="1" applyAlignment="1">
      <alignment horizontal="left" wrapText="1"/>
    </xf>
    <xf numFmtId="168" fontId="8" fillId="0" borderId="66" xfId="1181" applyNumberFormat="1" applyFont="1" applyBorder="1" applyAlignment="1">
      <alignment horizontal="center"/>
    </xf>
    <xf numFmtId="169" fontId="8" fillId="46" borderId="0" xfId="1181" applyNumberFormat="1" applyFont="1" applyFill="1"/>
    <xf numFmtId="168" fontId="164" fillId="46" borderId="0" xfId="1181" applyNumberFormat="1" applyFont="1" applyFill="1"/>
    <xf numFmtId="1" fontId="22" fillId="46" borderId="0" xfId="1181" applyNumberFormat="1" applyFill="1"/>
    <xf numFmtId="164" fontId="22" fillId="46" borderId="0" xfId="1181" applyNumberFormat="1" applyFill="1"/>
    <xf numFmtId="0" fontId="8" fillId="0" borderId="68" xfId="1181" applyFont="1" applyBorder="1" applyAlignment="1">
      <alignment horizontal="left" wrapText="1"/>
    </xf>
    <xf numFmtId="169" fontId="164" fillId="46" borderId="0" xfId="1181" applyNumberFormat="1" applyFont="1" applyFill="1"/>
    <xf numFmtId="169" fontId="53" fillId="46" borderId="0" xfId="1181" applyNumberFormat="1" applyFont="1" applyFill="1"/>
    <xf numFmtId="169" fontId="193" fillId="46" borderId="0" xfId="1181" applyNumberFormat="1" applyFont="1" applyFill="1"/>
    <xf numFmtId="0" fontId="193" fillId="46" borderId="0" xfId="1181" applyFont="1" applyFill="1"/>
    <xf numFmtId="168" fontId="22" fillId="46" borderId="0" xfId="1181" applyNumberFormat="1" applyFill="1"/>
    <xf numFmtId="169" fontId="8" fillId="0" borderId="66" xfId="1181" applyNumberFormat="1" applyFont="1" applyBorder="1" applyAlignment="1">
      <alignment horizontal="center"/>
    </xf>
    <xf numFmtId="10" fontId="194" fillId="46" borderId="0" xfId="1181" applyNumberFormat="1" applyFont="1" applyFill="1"/>
    <xf numFmtId="2" fontId="8" fillId="46" borderId="0" xfId="1181" applyNumberFormat="1" applyFont="1" applyFill="1"/>
    <xf numFmtId="49" fontId="8" fillId="0" borderId="66" xfId="1181" applyNumberFormat="1" applyFont="1" applyBorder="1" applyAlignment="1">
      <alignment horizontal="center" vertical="top"/>
    </xf>
    <xf numFmtId="169" fontId="191" fillId="46" borderId="0" xfId="1181" applyNumberFormat="1" applyFont="1" applyFill="1"/>
    <xf numFmtId="169" fontId="22" fillId="46" borderId="0" xfId="1181" applyNumberFormat="1" applyFill="1"/>
    <xf numFmtId="169" fontId="171" fillId="0" borderId="66" xfId="1181" applyNumberFormat="1" applyFont="1" applyBorder="1" applyAlignment="1">
      <alignment horizontal="center"/>
    </xf>
    <xf numFmtId="0" fontId="8" fillId="48" borderId="68" xfId="1181" applyFont="1" applyFill="1" applyBorder="1" applyAlignment="1">
      <alignment horizontal="left" wrapText="1"/>
    </xf>
    <xf numFmtId="169" fontId="171" fillId="48" borderId="66" xfId="1181" applyNumberFormat="1" applyFont="1" applyFill="1" applyBorder="1" applyAlignment="1">
      <alignment horizontal="center"/>
    </xf>
    <xf numFmtId="49" fontId="8" fillId="0" borderId="17" xfId="1181" applyNumberFormat="1" applyFont="1" applyBorder="1" applyAlignment="1">
      <alignment horizontal="center" vertical="top"/>
    </xf>
    <xf numFmtId="49" fontId="8" fillId="0" borderId="67" xfId="1181" applyNumberFormat="1" applyFont="1" applyBorder="1" applyAlignment="1">
      <alignment horizontal="center"/>
    </xf>
    <xf numFmtId="169" fontId="8" fillId="48" borderId="66" xfId="1181" applyNumberFormat="1" applyFont="1" applyFill="1" applyBorder="1" applyAlignment="1">
      <alignment horizontal="center"/>
    </xf>
    <xf numFmtId="49" fontId="8" fillId="0" borderId="17" xfId="1181" applyNumberFormat="1" applyFont="1" applyBorder="1" applyAlignment="1">
      <alignment horizontal="center"/>
    </xf>
    <xf numFmtId="49" fontId="8" fillId="0" borderId="78" xfId="1181" applyNumberFormat="1" applyFont="1" applyBorder="1" applyAlignment="1">
      <alignment horizontal="center"/>
    </xf>
    <xf numFmtId="0" fontId="8" fillId="0" borderId="79" xfId="1181" applyFont="1" applyBorder="1" applyAlignment="1">
      <alignment horizontal="left" wrapText="1"/>
    </xf>
    <xf numFmtId="169" fontId="8" fillId="0" borderId="78" xfId="1181" applyNumberFormat="1" applyFont="1" applyBorder="1" applyAlignment="1">
      <alignment horizontal="center"/>
    </xf>
    <xf numFmtId="168" fontId="8" fillId="0" borderId="78" xfId="1181" applyNumberFormat="1" applyFont="1" applyBorder="1" applyAlignment="1">
      <alignment horizontal="center"/>
    </xf>
    <xf numFmtId="49" fontId="8" fillId="0" borderId="68" xfId="1181" applyNumberFormat="1" applyFont="1" applyBorder="1" applyAlignment="1">
      <alignment horizontal="left" wrapText="1" indent="1"/>
    </xf>
    <xf numFmtId="169" fontId="8" fillId="0" borderId="0" xfId="1181" applyNumberFormat="1" applyFont="1"/>
    <xf numFmtId="4" fontId="22" fillId="46" borderId="0" xfId="1181" applyNumberFormat="1" applyFill="1"/>
    <xf numFmtId="3" fontId="191" fillId="0" borderId="0" xfId="1181" applyNumberFormat="1" applyFont="1"/>
    <xf numFmtId="169" fontId="8" fillId="0" borderId="67" xfId="1181" applyNumberFormat="1" applyFont="1" applyBorder="1" applyAlignment="1">
      <alignment horizontal="center"/>
    </xf>
    <xf numFmtId="0" fontId="179" fillId="46" borderId="0" xfId="1181" applyFont="1" applyFill="1" applyAlignment="1">
      <alignment horizontal="right"/>
    </xf>
    <xf numFmtId="3" fontId="22" fillId="46" borderId="0" xfId="1181" applyNumberFormat="1" applyFill="1"/>
    <xf numFmtId="3" fontId="179" fillId="46" borderId="0" xfId="1181" applyNumberFormat="1" applyFont="1" applyFill="1"/>
    <xf numFmtId="0" fontId="179" fillId="46" borderId="0" xfId="1181" applyFont="1" applyFill="1"/>
    <xf numFmtId="168" fontId="191" fillId="46" borderId="0" xfId="1181" applyNumberFormat="1" applyFont="1" applyFill="1"/>
    <xf numFmtId="0" fontId="191" fillId="46" borderId="0" xfId="1181" applyFont="1" applyFill="1" applyAlignment="1">
      <alignment horizontal="center"/>
    </xf>
    <xf numFmtId="168" fontId="8" fillId="48" borderId="66" xfId="1181" applyNumberFormat="1" applyFont="1" applyFill="1" applyBorder="1" applyAlignment="1">
      <alignment horizontal="center"/>
    </xf>
    <xf numFmtId="3" fontId="191" fillId="46" borderId="0" xfId="1181" applyNumberFormat="1" applyFont="1" applyFill="1"/>
    <xf numFmtId="0" fontId="171" fillId="0" borderId="0" xfId="1181" applyFont="1"/>
    <xf numFmtId="168" fontId="10" fillId="46" borderId="0" xfId="1181" applyNumberFormat="1" applyFont="1" applyFill="1"/>
    <xf numFmtId="0" fontId="102" fillId="46" borderId="0" xfId="1181" applyFont="1" applyFill="1"/>
    <xf numFmtId="168" fontId="48" fillId="46" borderId="0" xfId="1181" applyNumberFormat="1" applyFont="1" applyFill="1" applyAlignment="1">
      <alignment horizontal="left"/>
    </xf>
    <xf numFmtId="0" fontId="120" fillId="46" borderId="0" xfId="1181" applyFont="1" applyFill="1"/>
    <xf numFmtId="0" fontId="10" fillId="46" borderId="0" xfId="1181" applyFont="1" applyFill="1" applyAlignment="1"/>
    <xf numFmtId="0" fontId="10" fillId="46" borderId="0" xfId="1181" applyFont="1" applyFill="1"/>
    <xf numFmtId="168" fontId="10" fillId="46" borderId="0" xfId="1181" applyNumberFormat="1" applyFont="1" applyFill="1" applyAlignment="1">
      <alignment horizontal="right"/>
    </xf>
    <xf numFmtId="0" fontId="195" fillId="0" borderId="0" xfId="0" applyFont="1"/>
    <xf numFmtId="0" fontId="191" fillId="0" borderId="0" xfId="0" applyFont="1"/>
    <xf numFmtId="0" fontId="105" fillId="46" borderId="17" xfId="1178" applyFont="1" applyFill="1" applyBorder="1" applyAlignment="1" applyProtection="1">
      <alignment horizontal="left" vertical="center" wrapText="1" indent="1"/>
    </xf>
    <xf numFmtId="0" fontId="105" fillId="46" borderId="17" xfId="1178" applyFont="1" applyFill="1" applyBorder="1" applyAlignment="1" applyProtection="1">
      <alignment horizontal="center" vertical="center" wrapText="1"/>
    </xf>
    <xf numFmtId="170" fontId="173" fillId="46" borderId="0" xfId="0" applyNumberFormat="1" applyFont="1" applyFill="1"/>
    <xf numFmtId="170" fontId="0" fillId="46" borderId="17" xfId="0" applyNumberFormat="1" applyFont="1" applyFill="1" applyBorder="1"/>
    <xf numFmtId="168" fontId="0" fillId="0" borderId="0" xfId="0" applyNumberFormat="1"/>
    <xf numFmtId="170" fontId="0" fillId="0" borderId="0" xfId="0" applyNumberFormat="1"/>
    <xf numFmtId="0" fontId="8" fillId="46" borderId="66" xfId="0" applyFont="1" applyFill="1" applyBorder="1" applyAlignment="1">
      <alignment horizontal="center" vertical="center" wrapText="1"/>
    </xf>
    <xf numFmtId="0" fontId="7" fillId="51" borderId="66" xfId="0" applyFont="1" applyFill="1" applyBorder="1" applyAlignment="1">
      <alignment horizontal="center" vertical="center" wrapText="1"/>
    </xf>
    <xf numFmtId="0" fontId="8" fillId="51" borderId="6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Continuous" wrapText="1"/>
    </xf>
    <xf numFmtId="2" fontId="13" fillId="0" borderId="0" xfId="0" applyNumberFormat="1" applyFont="1" applyBorder="1"/>
    <xf numFmtId="0" fontId="8" fillId="46" borderId="0" xfId="0" applyFont="1" applyFill="1" applyBorder="1"/>
    <xf numFmtId="0" fontId="13" fillId="0" borderId="0" xfId="0" applyFont="1" applyAlignment="1">
      <alignment horizontal="right"/>
    </xf>
    <xf numFmtId="164" fontId="48" fillId="48" borderId="0" xfId="0" applyNumberFormat="1" applyFont="1" applyFill="1"/>
    <xf numFmtId="0" fontId="48" fillId="48" borderId="0" xfId="0" applyFont="1" applyFill="1"/>
    <xf numFmtId="0" fontId="164" fillId="0" borderId="0" xfId="0" applyFont="1" applyAlignment="1">
      <alignment horizontal="right"/>
    </xf>
    <xf numFmtId="170" fontId="10" fillId="0" borderId="17" xfId="1176" applyNumberFormat="1" applyFont="1" applyBorder="1" applyAlignment="1">
      <alignment horizontal="right"/>
    </xf>
    <xf numFmtId="170" fontId="10" fillId="0" borderId="17" xfId="1176" applyNumberFormat="1" applyFont="1" applyFill="1" applyBorder="1" applyAlignment="1">
      <alignment horizontal="right"/>
    </xf>
    <xf numFmtId="0" fontId="10" fillId="0" borderId="17" xfId="1176" applyFont="1" applyBorder="1"/>
    <xf numFmtId="0" fontId="48" fillId="44" borderId="17" xfId="1176" applyFont="1" applyFill="1" applyBorder="1"/>
    <xf numFmtId="0" fontId="48" fillId="44" borderId="17" xfId="1176" applyFont="1" applyFill="1" applyBorder="1" applyAlignment="1">
      <alignment horizontal="left"/>
    </xf>
    <xf numFmtId="170" fontId="48" fillId="44" borderId="17" xfId="1176" applyNumberFormat="1" applyFont="1" applyFill="1" applyBorder="1" applyAlignment="1">
      <alignment horizontal="right"/>
    </xf>
    <xf numFmtId="0" fontId="10" fillId="46" borderId="17" xfId="1210" applyFont="1" applyFill="1" applyBorder="1" applyAlignment="1">
      <alignment horizontal="left" wrapText="1"/>
    </xf>
    <xf numFmtId="0" fontId="10" fillId="0" borderId="0" xfId="1181" applyFont="1" applyAlignment="1"/>
    <xf numFmtId="0" fontId="13" fillId="46" borderId="0" xfId="0" applyFont="1" applyFill="1" applyAlignment="1">
      <alignment horizontal="right"/>
    </xf>
    <xf numFmtId="0" fontId="8" fillId="46" borderId="17" xfId="0" applyFont="1" applyFill="1" applyBorder="1"/>
    <xf numFmtId="170" fontId="0" fillId="46" borderId="17" xfId="0" applyNumberFormat="1" applyFont="1" applyFill="1" applyBorder="1" applyAlignment="1">
      <alignment vertical="center" wrapText="1"/>
    </xf>
    <xf numFmtId="170" fontId="0" fillId="46" borderId="17" xfId="0" applyNumberFormat="1" applyFont="1" applyFill="1" applyBorder="1" applyAlignment="1">
      <alignment wrapText="1"/>
    </xf>
    <xf numFmtId="0" fontId="120" fillId="46" borderId="0" xfId="0" applyFont="1" applyFill="1" applyBorder="1" applyAlignment="1">
      <alignment horizontal="right" vertical="center" wrapText="1"/>
    </xf>
    <xf numFmtId="0" fontId="48" fillId="46" borderId="0" xfId="0" applyFont="1" applyFill="1" applyBorder="1" applyAlignment="1">
      <alignment horizontal="center" wrapText="1"/>
    </xf>
    <xf numFmtId="0" fontId="120" fillId="46" borderId="17" xfId="0" applyFont="1" applyFill="1" applyBorder="1" applyAlignment="1">
      <alignment horizontal="center" vertical="center" wrapText="1"/>
    </xf>
    <xf numFmtId="0" fontId="19" fillId="46" borderId="17" xfId="0" applyFont="1" applyFill="1" applyBorder="1" applyAlignment="1">
      <alignment horizontal="center"/>
    </xf>
    <xf numFmtId="0" fontId="121" fillId="46" borderId="17" xfId="0" applyFont="1" applyFill="1" applyBorder="1" applyAlignment="1">
      <alignment horizontal="left" vertical="center" wrapText="1"/>
    </xf>
    <xf numFmtId="0" fontId="121" fillId="46" borderId="17" xfId="0" applyFont="1" applyFill="1" applyBorder="1" applyAlignment="1">
      <alignment vertical="center" wrapText="1"/>
    </xf>
    <xf numFmtId="0" fontId="104" fillId="46" borderId="17" xfId="1178" applyFont="1" applyFill="1" applyBorder="1" applyAlignment="1" applyProtection="1">
      <alignment horizontal="center" vertical="center" wrapText="1"/>
    </xf>
    <xf numFmtId="170" fontId="65" fillId="46" borderId="17" xfId="0" applyNumberFormat="1" applyFont="1" applyFill="1" applyBorder="1" applyAlignment="1">
      <alignment vertical="center" wrapText="1"/>
    </xf>
    <xf numFmtId="0" fontId="123" fillId="46" borderId="17" xfId="1178" applyFont="1" applyFill="1" applyBorder="1" applyAlignment="1" applyProtection="1">
      <alignment horizontal="center" vertical="center" wrapText="1"/>
    </xf>
    <xf numFmtId="0" fontId="65" fillId="46" borderId="17" xfId="0" applyFont="1" applyFill="1" applyBorder="1" applyAlignment="1">
      <alignment horizontal="left" vertical="center" wrapText="1" indent="1"/>
    </xf>
    <xf numFmtId="0" fontId="104" fillId="46" borderId="17" xfId="1178" applyFont="1" applyFill="1" applyBorder="1" applyAlignment="1" applyProtection="1">
      <alignment vertical="center" wrapText="1"/>
    </xf>
    <xf numFmtId="0" fontId="0" fillId="46" borderId="17" xfId="0" applyFont="1" applyFill="1" applyBorder="1" applyAlignment="1">
      <alignment horizontal="right" vertical="distributed" wrapText="1" indent="2"/>
    </xf>
    <xf numFmtId="0" fontId="122" fillId="46" borderId="17" xfId="0" applyFont="1" applyFill="1" applyBorder="1" applyAlignment="1">
      <alignment horizontal="right" vertical="center" wrapText="1"/>
    </xf>
    <xf numFmtId="0" fontId="124" fillId="46" borderId="17" xfId="1178" applyFont="1" applyFill="1" applyBorder="1" applyAlignment="1" applyProtection="1">
      <alignment horizontal="left" vertical="center" wrapText="1" indent="3"/>
    </xf>
    <xf numFmtId="3" fontId="124" fillId="46" borderId="17" xfId="1178" applyNumberFormat="1" applyFont="1" applyFill="1" applyBorder="1" applyAlignment="1" applyProtection="1">
      <alignment horizontal="left" vertical="center" wrapText="1" indent="3"/>
    </xf>
    <xf numFmtId="173" fontId="8" fillId="46" borderId="17" xfId="1216" applyNumberFormat="1" applyFont="1" applyFill="1" applyBorder="1" applyAlignment="1">
      <alignment horizontal="right"/>
    </xf>
    <xf numFmtId="0" fontId="104" fillId="46" borderId="17" xfId="1178" applyFont="1" applyFill="1" applyBorder="1" applyAlignment="1" applyProtection="1">
      <alignment horizontal="left" vertical="center" wrapText="1" indent="1"/>
    </xf>
    <xf numFmtId="170" fontId="65" fillId="46" borderId="17" xfId="0" applyNumberFormat="1" applyFont="1" applyFill="1" applyBorder="1"/>
    <xf numFmtId="0" fontId="104" fillId="46" borderId="17" xfId="1025" applyFont="1" applyFill="1" applyBorder="1" applyAlignment="1" applyProtection="1">
      <alignment horizontal="left" vertical="center" wrapText="1"/>
    </xf>
    <xf numFmtId="0" fontId="104" fillId="46" borderId="17" xfId="1178" applyFont="1" applyFill="1" applyBorder="1" applyAlignment="1" applyProtection="1">
      <alignment vertical="top" wrapText="1"/>
    </xf>
    <xf numFmtId="0" fontId="0" fillId="46" borderId="0" xfId="0" applyFont="1" applyFill="1" applyBorder="1" applyAlignment="1">
      <alignment vertical="center" wrapText="1"/>
    </xf>
    <xf numFmtId="0" fontId="0" fillId="46" borderId="0" xfId="0" applyFont="1" applyFill="1" applyBorder="1"/>
    <xf numFmtId="0" fontId="0" fillId="46" borderId="0" xfId="0" applyFont="1" applyFill="1" applyBorder="1" applyAlignment="1">
      <alignment horizontal="left" vertical="center"/>
    </xf>
    <xf numFmtId="173" fontId="13" fillId="48" borderId="17" xfId="1216" applyNumberFormat="1" applyFont="1" applyFill="1" applyBorder="1" applyAlignment="1">
      <alignment horizontal="right" wrapText="1"/>
    </xf>
    <xf numFmtId="2" fontId="73" fillId="0" borderId="0" xfId="0" applyNumberFormat="1" applyFont="1" applyAlignment="1">
      <alignment horizontal="center" wrapText="1"/>
    </xf>
    <xf numFmtId="169" fontId="50" fillId="0" borderId="0" xfId="0" applyNumberFormat="1" applyFont="1"/>
    <xf numFmtId="0" fontId="10" fillId="0" borderId="0" xfId="0" applyFont="1" applyBorder="1" applyAlignment="1">
      <alignment horizontal="right"/>
    </xf>
    <xf numFmtId="0" fontId="56" fillId="48" borderId="0" xfId="1215" applyFont="1" applyFill="1" applyAlignment="1">
      <alignment horizontal="centerContinuous" wrapText="1"/>
    </xf>
    <xf numFmtId="0" fontId="10" fillId="48" borderId="0" xfId="0" applyFont="1" applyFill="1" applyAlignment="1">
      <alignment horizontal="centerContinuous" wrapText="1"/>
    </xf>
    <xf numFmtId="0" fontId="177" fillId="48" borderId="0" xfId="0" applyFont="1" applyFill="1"/>
    <xf numFmtId="0" fontId="13" fillId="48" borderId="0" xfId="0" applyFont="1" applyFill="1" applyAlignment="1">
      <alignment horizontal="center"/>
    </xf>
    <xf numFmtId="0" fontId="13" fillId="48" borderId="0" xfId="0" applyFont="1" applyFill="1"/>
    <xf numFmtId="0" fontId="10" fillId="48" borderId="17" xfId="0" applyFont="1" applyFill="1" applyBorder="1" applyAlignment="1">
      <alignment horizontal="center" vertical="top" wrapText="1"/>
    </xf>
    <xf numFmtId="0" fontId="50" fillId="48" borderId="17" xfId="0" applyFont="1" applyFill="1" applyBorder="1" applyAlignment="1">
      <alignment horizontal="center" vertical="top" wrapText="1"/>
    </xf>
    <xf numFmtId="0" fontId="73" fillId="48" borderId="0" xfId="0" applyFont="1" applyFill="1" applyAlignment="1">
      <alignment horizontal="center" wrapText="1"/>
    </xf>
    <xf numFmtId="0" fontId="10" fillId="48" borderId="17" xfId="0" applyFont="1" applyFill="1" applyBorder="1" applyAlignment="1">
      <alignment horizontal="left" wrapText="1"/>
    </xf>
    <xf numFmtId="0" fontId="50" fillId="48" borderId="17" xfId="0" applyFont="1" applyFill="1" applyBorder="1" applyAlignment="1">
      <alignment horizontal="center" wrapText="1"/>
    </xf>
    <xf numFmtId="0" fontId="50" fillId="48" borderId="17" xfId="0" applyFont="1" applyFill="1" applyBorder="1" applyAlignment="1">
      <alignment horizontal="center"/>
    </xf>
    <xf numFmtId="4" fontId="10" fillId="48" borderId="17" xfId="0" applyNumberFormat="1" applyFont="1" applyFill="1" applyBorder="1" applyAlignment="1">
      <alignment horizontal="right"/>
    </xf>
    <xf numFmtId="4" fontId="10" fillId="48" borderId="17" xfId="0" applyNumberFormat="1" applyFont="1" applyFill="1" applyBorder="1"/>
    <xf numFmtId="4" fontId="73" fillId="48" borderId="0" xfId="0" applyNumberFormat="1" applyFont="1" applyFill="1" applyAlignment="1">
      <alignment horizontal="center" wrapText="1"/>
    </xf>
    <xf numFmtId="0" fontId="48" fillId="48" borderId="17" xfId="0" applyFont="1" applyFill="1" applyBorder="1" applyAlignment="1">
      <alignment horizontal="left" wrapText="1"/>
    </xf>
    <xf numFmtId="0" fontId="12" fillId="48" borderId="17" xfId="0" applyFont="1" applyFill="1" applyBorder="1" applyAlignment="1">
      <alignment horizontal="center" wrapText="1"/>
    </xf>
    <xf numFmtId="0" fontId="12" fillId="48" borderId="17" xfId="0" applyFont="1" applyFill="1" applyBorder="1" applyAlignment="1">
      <alignment horizontal="center"/>
    </xf>
    <xf numFmtId="4" fontId="48" fillId="48" borderId="17" xfId="0" applyNumberFormat="1" applyFont="1" applyFill="1" applyBorder="1" applyAlignment="1">
      <alignment horizontal="right"/>
    </xf>
    <xf numFmtId="4" fontId="48" fillId="48" borderId="17" xfId="0" applyNumberFormat="1" applyFont="1" applyFill="1" applyBorder="1"/>
    <xf numFmtId="4" fontId="54" fillId="48" borderId="0" xfId="0" applyNumberFormat="1" applyFont="1" applyFill="1" applyAlignment="1">
      <alignment horizontal="center" wrapText="1"/>
    </xf>
    <xf numFmtId="0" fontId="10" fillId="48" borderId="0" xfId="0" applyFont="1" applyFill="1" applyBorder="1"/>
    <xf numFmtId="2" fontId="48" fillId="48" borderId="0" xfId="0" applyNumberFormat="1" applyFont="1" applyFill="1" applyBorder="1"/>
    <xf numFmtId="0" fontId="59" fillId="48" borderId="0" xfId="1176" applyFont="1" applyFill="1" applyBorder="1" applyAlignment="1">
      <alignment horizontal="left" vertical="center"/>
    </xf>
    <xf numFmtId="44" fontId="72" fillId="48" borderId="0" xfId="931" applyFont="1" applyFill="1" applyBorder="1" applyAlignment="1">
      <alignment horizontal="center" vertical="center" wrapText="1"/>
    </xf>
    <xf numFmtId="44" fontId="61" fillId="48" borderId="0" xfId="931" applyFont="1" applyFill="1" applyBorder="1" applyAlignment="1">
      <alignment horizontal="center" vertical="center" wrapText="1"/>
    </xf>
    <xf numFmtId="44" fontId="46" fillId="48" borderId="0" xfId="931" applyFont="1" applyFill="1" applyBorder="1" applyAlignment="1">
      <alignment horizontal="centerContinuous" vertical="center" wrapText="1"/>
    </xf>
    <xf numFmtId="44" fontId="46" fillId="48" borderId="0" xfId="931" applyFont="1" applyFill="1" applyBorder="1" applyAlignment="1">
      <alignment horizontal="center" vertical="center" wrapText="1"/>
    </xf>
    <xf numFmtId="44" fontId="196" fillId="48" borderId="0" xfId="931" applyFont="1" applyFill="1"/>
    <xf numFmtId="44" fontId="68" fillId="48" borderId="0" xfId="931" applyFont="1" applyFill="1" applyAlignment="1">
      <alignment horizontal="center" vertical="center" wrapText="1"/>
    </xf>
    <xf numFmtId="0" fontId="72" fillId="48" borderId="0" xfId="1176" applyFont="1" applyFill="1" applyBorder="1" applyAlignment="1">
      <alignment horizontal="center" vertical="center" wrapText="1"/>
    </xf>
    <xf numFmtId="4" fontId="61" fillId="48" borderId="0" xfId="1176" applyNumberFormat="1" applyFont="1" applyFill="1" applyBorder="1" applyAlignment="1">
      <alignment horizontal="center" vertical="center" wrapText="1"/>
    </xf>
    <xf numFmtId="10" fontId="46" fillId="48" borderId="0" xfId="1176" applyNumberFormat="1" applyFont="1" applyFill="1" applyBorder="1" applyAlignment="1">
      <alignment horizontal="centerContinuous" vertical="center" wrapText="1"/>
    </xf>
    <xf numFmtId="10" fontId="46" fillId="48" borderId="0" xfId="1176" applyNumberFormat="1" applyFont="1" applyFill="1" applyBorder="1" applyAlignment="1">
      <alignment horizontal="center" vertical="center" wrapText="1"/>
    </xf>
    <xf numFmtId="170" fontId="46" fillId="48" borderId="0" xfId="1176" applyNumberFormat="1" applyFont="1" applyFill="1" applyBorder="1" applyAlignment="1">
      <alignment horizontal="center" vertical="center" wrapText="1"/>
    </xf>
    <xf numFmtId="0" fontId="58" fillId="48" borderId="0" xfId="0" applyFont="1" applyFill="1"/>
    <xf numFmtId="4" fontId="58" fillId="48" borderId="0" xfId="0" applyNumberFormat="1" applyFont="1" applyFill="1"/>
    <xf numFmtId="0" fontId="61" fillId="48" borderId="0" xfId="1176" applyFont="1" applyFill="1" applyAlignment="1">
      <alignment horizontal="center" vertical="center" wrapText="1"/>
    </xf>
    <xf numFmtId="0" fontId="68" fillId="48" borderId="0" xfId="1176" applyFont="1" applyFill="1" applyAlignment="1">
      <alignment horizontal="center" vertical="center" wrapText="1"/>
    </xf>
    <xf numFmtId="0" fontId="63" fillId="48" borderId="0" xfId="1176" applyFont="1" applyFill="1" applyBorder="1" applyAlignment="1">
      <alignment horizontal="left" vertical="center"/>
    </xf>
    <xf numFmtId="0" fontId="61" fillId="48" borderId="0" xfId="1176" applyFont="1" applyFill="1" applyBorder="1" applyAlignment="1">
      <alignment horizontal="center" vertical="center" wrapText="1"/>
    </xf>
    <xf numFmtId="10" fontId="61" fillId="48" borderId="0" xfId="1176" applyNumberFormat="1" applyFont="1" applyFill="1" applyBorder="1" applyAlignment="1">
      <alignment horizontal="center" vertical="center" wrapText="1"/>
    </xf>
    <xf numFmtId="173" fontId="12" fillId="48" borderId="0" xfId="1216" applyNumberFormat="1" applyFont="1" applyFill="1" applyBorder="1" applyAlignment="1">
      <alignment horizontal="center" vertical="center" wrapText="1"/>
    </xf>
    <xf numFmtId="170" fontId="61" fillId="48" borderId="0" xfId="1176" applyNumberFormat="1" applyFont="1" applyFill="1" applyBorder="1" applyAlignment="1">
      <alignment horizontal="center" vertical="center" wrapText="1"/>
    </xf>
    <xf numFmtId="170" fontId="63" fillId="48" borderId="0" xfId="1176" applyNumberFormat="1" applyFont="1" applyFill="1" applyBorder="1" applyAlignment="1">
      <alignment horizontal="right" vertical="center" wrapText="1"/>
    </xf>
    <xf numFmtId="0" fontId="186" fillId="48" borderId="0" xfId="1176" applyFont="1" applyFill="1" applyAlignment="1">
      <alignment horizontal="center" vertical="center" wrapText="1"/>
    </xf>
    <xf numFmtId="4" fontId="186" fillId="48" borderId="0" xfId="1176" applyNumberFormat="1" applyFont="1" applyFill="1" applyAlignment="1">
      <alignment horizontal="center" vertical="center" wrapText="1"/>
    </xf>
    <xf numFmtId="10" fontId="63" fillId="48" borderId="0" xfId="1176" applyNumberFormat="1" applyFont="1" applyFill="1" applyBorder="1" applyAlignment="1">
      <alignment horizontal="left" vertical="center" wrapText="1"/>
    </xf>
    <xf numFmtId="0" fontId="59" fillId="48" borderId="0" xfId="1176" applyFont="1" applyFill="1" applyBorder="1" applyAlignment="1">
      <alignment horizontal="right" vertical="center"/>
    </xf>
    <xf numFmtId="10" fontId="63" fillId="48" borderId="0" xfId="1176" applyNumberFormat="1" applyFont="1" applyFill="1" applyAlignment="1">
      <alignment horizontal="left" vertical="center" wrapText="1"/>
    </xf>
    <xf numFmtId="4" fontId="10" fillId="48" borderId="0" xfId="0" applyNumberFormat="1" applyFont="1" applyFill="1"/>
    <xf numFmtId="4" fontId="164" fillId="48" borderId="0" xfId="0" applyNumberFormat="1" applyFont="1" applyFill="1" applyAlignment="1">
      <alignment horizontal="right"/>
    </xf>
    <xf numFmtId="4" fontId="164" fillId="48" borderId="0" xfId="0" applyNumberFormat="1" applyFont="1" applyFill="1"/>
    <xf numFmtId="49" fontId="8" fillId="46" borderId="17" xfId="1211" applyNumberFormat="1" applyFont="1" applyFill="1" applyBorder="1" applyAlignment="1">
      <alignment horizontal="center" wrapText="1"/>
    </xf>
    <xf numFmtId="0" fontId="10" fillId="46" borderId="17" xfId="1211" applyFont="1" applyFill="1" applyBorder="1" applyAlignment="1">
      <alignment horizontal="center" wrapText="1"/>
    </xf>
    <xf numFmtId="0" fontId="10" fillId="46" borderId="0" xfId="0" applyFont="1" applyFill="1" applyAlignment="1">
      <alignment horizontal="right"/>
    </xf>
    <xf numFmtId="164" fontId="164" fillId="46" borderId="0" xfId="0" applyNumberFormat="1" applyFont="1" applyFill="1"/>
    <xf numFmtId="164" fontId="177" fillId="46" borderId="0" xfId="0" applyNumberFormat="1" applyFont="1" applyFill="1"/>
    <xf numFmtId="4" fontId="48" fillId="0" borderId="0" xfId="0" applyNumberFormat="1" applyFont="1" applyAlignment="1">
      <alignment horizontal="right"/>
    </xf>
    <xf numFmtId="170" fontId="48" fillId="0" borderId="0" xfId="0" applyNumberFormat="1" applyFont="1" applyAlignment="1">
      <alignment horizontal="right"/>
    </xf>
    <xf numFmtId="0" fontId="177" fillId="46" borderId="0" xfId="0" applyFont="1" applyFill="1" applyAlignment="1">
      <alignment horizontal="right"/>
    </xf>
    <xf numFmtId="195" fontId="50" fillId="46" borderId="17" xfId="1216" applyNumberFormat="1" applyFont="1" applyFill="1" applyBorder="1" applyAlignment="1">
      <alignment horizontal="right" wrapText="1"/>
    </xf>
    <xf numFmtId="171" fontId="15" fillId="0" borderId="0" xfId="0" applyNumberFormat="1" applyFont="1"/>
    <xf numFmtId="170" fontId="197" fillId="48" borderId="17" xfId="0" applyNumberFormat="1" applyFont="1" applyFill="1" applyBorder="1"/>
    <xf numFmtId="171" fontId="197" fillId="48" borderId="17" xfId="0" applyNumberFormat="1" applyFont="1" applyFill="1" applyBorder="1"/>
    <xf numFmtId="169" fontId="197" fillId="48" borderId="17" xfId="0" applyNumberFormat="1" applyFont="1" applyFill="1" applyBorder="1"/>
    <xf numFmtId="170" fontId="197" fillId="46" borderId="17" xfId="0" applyNumberFormat="1" applyFont="1" applyFill="1" applyBorder="1"/>
    <xf numFmtId="171" fontId="197" fillId="46" borderId="17" xfId="0" applyNumberFormat="1" applyFont="1" applyFill="1" applyBorder="1"/>
    <xf numFmtId="167" fontId="15" fillId="46" borderId="0" xfId="0" applyNumberFormat="1" applyFont="1" applyFill="1"/>
    <xf numFmtId="1" fontId="15" fillId="46" borderId="0" xfId="0" applyNumberFormat="1" applyFont="1" applyFill="1"/>
    <xf numFmtId="169" fontId="180" fillId="0" borderId="0" xfId="0" applyNumberFormat="1" applyFont="1"/>
    <xf numFmtId="171" fontId="180" fillId="0" borderId="0" xfId="0" applyNumberFormat="1" applyFont="1"/>
    <xf numFmtId="169" fontId="198" fillId="49" borderId="17" xfId="0" applyNumberFormat="1" applyFont="1" applyFill="1" applyBorder="1"/>
    <xf numFmtId="170" fontId="199" fillId="46" borderId="17" xfId="0" applyNumberFormat="1" applyFont="1" applyFill="1" applyBorder="1"/>
    <xf numFmtId="169" fontId="199" fillId="46" borderId="17" xfId="0" applyNumberFormat="1" applyFont="1" applyFill="1" applyBorder="1"/>
    <xf numFmtId="171" fontId="199" fillId="46" borderId="17" xfId="0" applyNumberFormat="1" applyFont="1" applyFill="1" applyBorder="1"/>
    <xf numFmtId="0" fontId="126" fillId="0" borderId="0" xfId="1184" applyFont="1"/>
    <xf numFmtId="0" fontId="17" fillId="0" borderId="0" xfId="1184"/>
    <xf numFmtId="0" fontId="191" fillId="44" borderId="0" xfId="1184" applyFont="1" applyFill="1"/>
    <xf numFmtId="0" fontId="127" fillId="0" borderId="0" xfId="1184" applyFont="1" applyAlignment="1">
      <alignment vertical="center" wrapText="1"/>
    </xf>
    <xf numFmtId="194" fontId="191" fillId="44" borderId="0" xfId="1184" applyNumberFormat="1" applyFont="1" applyFill="1"/>
    <xf numFmtId="169" fontId="191" fillId="44" borderId="0" xfId="1184" applyNumberFormat="1" applyFont="1" applyFill="1"/>
    <xf numFmtId="0" fontId="127" fillId="0" borderId="0" xfId="1184" applyFont="1" applyAlignment="1">
      <alignment horizontal="center" wrapText="1"/>
    </xf>
    <xf numFmtId="0" fontId="129" fillId="0" borderId="0" xfId="1184" applyFont="1" applyBorder="1" applyAlignment="1">
      <alignment vertical="center" wrapText="1"/>
    </xf>
    <xf numFmtId="193" fontId="17" fillId="0" borderId="0" xfId="1184" applyNumberFormat="1"/>
    <xf numFmtId="0" fontId="128" fillId="46" borderId="67" xfId="1184" applyFont="1" applyFill="1" applyBorder="1" applyAlignment="1">
      <alignment horizontal="center" vertical="center"/>
    </xf>
    <xf numFmtId="0" fontId="128" fillId="46" borderId="80" xfId="1184" applyFont="1" applyFill="1" applyBorder="1" applyAlignment="1">
      <alignment horizontal="center" vertical="center"/>
    </xf>
    <xf numFmtId="0" fontId="194" fillId="44" borderId="0" xfId="1184" applyFont="1" applyFill="1" applyBorder="1" applyAlignment="1">
      <alignment vertical="center"/>
    </xf>
    <xf numFmtId="0" fontId="179" fillId="44" borderId="0" xfId="1184" applyFont="1" applyFill="1"/>
    <xf numFmtId="194" fontId="17" fillId="0" borderId="0" xfId="1184" applyNumberFormat="1"/>
    <xf numFmtId="0" fontId="130" fillId="0" borderId="0" xfId="1184" applyFont="1" applyBorder="1" applyAlignment="1">
      <alignment vertical="center"/>
    </xf>
    <xf numFmtId="0" fontId="128" fillId="46" borderId="81" xfId="1184" applyFont="1" applyFill="1" applyBorder="1" applyAlignment="1">
      <alignment vertical="center" wrapText="1"/>
    </xf>
    <xf numFmtId="0" fontId="128" fillId="46" borderId="82" xfId="1184" applyFont="1" applyFill="1" applyBorder="1" applyAlignment="1">
      <alignment vertical="center" wrapText="1"/>
    </xf>
    <xf numFmtId="198" fontId="131" fillId="51" borderId="0" xfId="1217" applyNumberFormat="1" applyFont="1" applyFill="1" applyBorder="1" applyAlignment="1">
      <alignment vertical="center" wrapText="1"/>
    </xf>
    <xf numFmtId="0" fontId="17" fillId="48" borderId="0" xfId="1184" applyFill="1"/>
    <xf numFmtId="0" fontId="128" fillId="46" borderId="83" xfId="1184" applyFont="1" applyFill="1" applyBorder="1" applyAlignment="1">
      <alignment vertical="center" wrapText="1"/>
    </xf>
    <xf numFmtId="173" fontId="128" fillId="46" borderId="84" xfId="1184" applyNumberFormat="1" applyFont="1" applyFill="1" applyBorder="1" applyAlignment="1">
      <alignment vertical="center"/>
    </xf>
    <xf numFmtId="173" fontId="17" fillId="0" borderId="0" xfId="1184" applyNumberFormat="1"/>
    <xf numFmtId="169" fontId="128" fillId="46" borderId="85" xfId="1184" applyNumberFormat="1" applyFont="1" applyFill="1" applyBorder="1" applyAlignment="1">
      <alignment vertical="center"/>
    </xf>
    <xf numFmtId="3" fontId="17" fillId="48" borderId="0" xfId="1184" applyNumberFormat="1" applyFill="1"/>
    <xf numFmtId="170" fontId="128" fillId="46" borderId="84" xfId="1184" applyNumberFormat="1" applyFont="1" applyFill="1" applyBorder="1" applyAlignment="1">
      <alignment vertical="center"/>
    </xf>
    <xf numFmtId="0" fontId="17" fillId="0" borderId="0" xfId="1184" applyBorder="1"/>
    <xf numFmtId="168" fontId="163" fillId="0" borderId="0" xfId="1184" applyNumberFormat="1" applyFont="1"/>
    <xf numFmtId="170" fontId="17" fillId="44" borderId="0" xfId="1184" applyNumberFormat="1" applyFill="1"/>
    <xf numFmtId="0" fontId="17" fillId="44" borderId="0" xfId="1184" applyFill="1"/>
    <xf numFmtId="170" fontId="17" fillId="44" borderId="0" xfId="1184" applyNumberFormat="1" applyFill="1" applyAlignment="1">
      <alignment vertical="top"/>
    </xf>
    <xf numFmtId="194" fontId="131" fillId="51" borderId="84" xfId="1217" applyNumberFormat="1" applyFont="1" applyFill="1" applyBorder="1" applyAlignment="1">
      <alignment horizontal="right" vertical="center" wrapText="1"/>
    </xf>
    <xf numFmtId="170" fontId="128" fillId="46" borderId="84" xfId="1184" applyNumberFormat="1" applyFont="1" applyFill="1" applyBorder="1" applyAlignment="1">
      <alignment horizontal="center"/>
    </xf>
    <xf numFmtId="170" fontId="128" fillId="46" borderId="86" xfId="1184" applyNumberFormat="1" applyFont="1" applyFill="1" applyBorder="1" applyAlignment="1">
      <alignment horizontal="center"/>
    </xf>
    <xf numFmtId="170" fontId="17" fillId="33" borderId="0" xfId="1184" applyNumberFormat="1" applyFill="1"/>
    <xf numFmtId="0" fontId="17" fillId="33" borderId="0" xfId="1184" applyFill="1"/>
    <xf numFmtId="168" fontId="17" fillId="0" borderId="0" xfId="1184" applyNumberFormat="1"/>
    <xf numFmtId="194" fontId="131" fillId="51" borderId="66" xfId="1217" applyNumberFormat="1" applyFont="1" applyFill="1" applyBorder="1" applyAlignment="1">
      <alignment horizontal="right" vertical="center" wrapText="1"/>
    </xf>
    <xf numFmtId="169" fontId="128" fillId="46" borderId="85" xfId="1184" applyNumberFormat="1" applyFont="1" applyFill="1" applyBorder="1" applyAlignment="1">
      <alignment horizontal="center"/>
    </xf>
    <xf numFmtId="169" fontId="128" fillId="46" borderId="87" xfId="1184" applyNumberFormat="1" applyFont="1" applyFill="1" applyBorder="1" applyAlignment="1">
      <alignment horizontal="center"/>
    </xf>
    <xf numFmtId="170" fontId="17" fillId="0" borderId="0" xfId="1184" applyNumberFormat="1"/>
    <xf numFmtId="0" fontId="128" fillId="51" borderId="81" xfId="1184" applyFont="1" applyFill="1" applyBorder="1" applyAlignment="1">
      <alignment vertical="center" wrapText="1"/>
    </xf>
    <xf numFmtId="0" fontId="128" fillId="51" borderId="88" xfId="1184" applyFont="1" applyFill="1" applyBorder="1" applyAlignment="1">
      <alignment vertical="center" wrapText="1"/>
    </xf>
    <xf numFmtId="3" fontId="17" fillId="46" borderId="0" xfId="1184" applyNumberFormat="1" applyFill="1"/>
    <xf numFmtId="170" fontId="128" fillId="46" borderId="84" xfId="1184" applyNumberFormat="1" applyFont="1" applyFill="1" applyBorder="1" applyAlignment="1">
      <alignment horizontal="right" vertical="center"/>
    </xf>
    <xf numFmtId="169" fontId="128" fillId="46" borderId="84" xfId="1184" applyNumberFormat="1" applyFont="1" applyFill="1" applyBorder="1" applyAlignment="1">
      <alignment horizontal="right" vertical="center"/>
    </xf>
    <xf numFmtId="169" fontId="128" fillId="46" borderId="86" xfId="1184" applyNumberFormat="1" applyFont="1" applyFill="1" applyBorder="1" applyAlignment="1">
      <alignment horizontal="right" vertical="center"/>
    </xf>
    <xf numFmtId="10" fontId="191" fillId="0" borderId="0" xfId="1184" applyNumberFormat="1" applyFont="1"/>
    <xf numFmtId="0" fontId="128" fillId="51" borderId="82" xfId="1184" applyFont="1" applyFill="1" applyBorder="1" applyAlignment="1">
      <alignment vertical="center" wrapText="1"/>
    </xf>
    <xf numFmtId="169" fontId="200" fillId="46" borderId="85" xfId="1184" applyNumberFormat="1" applyFont="1" applyFill="1" applyBorder="1" applyAlignment="1">
      <alignment horizontal="right" vertical="center"/>
    </xf>
    <xf numFmtId="169" fontId="128" fillId="46" borderId="85" xfId="1184" applyNumberFormat="1" applyFont="1" applyFill="1" applyBorder="1" applyAlignment="1">
      <alignment horizontal="right" vertical="center"/>
    </xf>
    <xf numFmtId="169" fontId="128" fillId="46" borderId="87" xfId="1184" applyNumberFormat="1" applyFont="1" applyFill="1" applyBorder="1" applyAlignment="1">
      <alignment horizontal="right" vertical="center"/>
    </xf>
    <xf numFmtId="169" fontId="128" fillId="0" borderId="84" xfId="1184" applyNumberFormat="1" applyFont="1" applyBorder="1" applyAlignment="1">
      <alignment horizontal="right" vertical="center"/>
    </xf>
    <xf numFmtId="0" fontId="128" fillId="51" borderId="0" xfId="1184" applyFont="1" applyFill="1" applyBorder="1" applyAlignment="1">
      <alignment vertical="center" wrapText="1"/>
    </xf>
    <xf numFmtId="0" fontId="128" fillId="0" borderId="0" xfId="1184" applyFont="1" applyBorder="1" applyAlignment="1">
      <alignment vertical="center" wrapText="1"/>
    </xf>
    <xf numFmtId="0" fontId="130" fillId="0" borderId="0" xfId="1184" applyFont="1" applyBorder="1" applyAlignment="1">
      <alignment horizontal="center"/>
    </xf>
    <xf numFmtId="169" fontId="17" fillId="0" borderId="0" xfId="1184" applyNumberFormat="1"/>
    <xf numFmtId="170" fontId="201" fillId="49" borderId="84" xfId="1184" applyNumberFormat="1" applyFont="1" applyFill="1" applyBorder="1" applyAlignment="1">
      <alignment horizontal="right" vertical="center"/>
    </xf>
    <xf numFmtId="169" fontId="201" fillId="49" borderId="85" xfId="1184" applyNumberFormat="1" applyFont="1" applyFill="1" applyBorder="1" applyAlignment="1">
      <alignment horizontal="right" vertical="center"/>
    </xf>
    <xf numFmtId="1" fontId="17" fillId="0" borderId="0" xfId="1184" applyNumberFormat="1"/>
    <xf numFmtId="195" fontId="17" fillId="0" borderId="0" xfId="1184" applyNumberFormat="1"/>
    <xf numFmtId="0" fontId="65" fillId="0" borderId="0" xfId="1184" applyFont="1"/>
    <xf numFmtId="0" fontId="17" fillId="0" borderId="0" xfId="1184" applyAlignment="1">
      <alignment horizontal="left"/>
    </xf>
    <xf numFmtId="193" fontId="200" fillId="44" borderId="84" xfId="1184" applyNumberFormat="1" applyFont="1" applyFill="1" applyBorder="1" applyAlignment="1">
      <alignment vertical="center"/>
    </xf>
    <xf numFmtId="171" fontId="200" fillId="44" borderId="85" xfId="1184" applyNumberFormat="1" applyFont="1" applyFill="1" applyBorder="1" applyAlignment="1">
      <alignment vertical="center"/>
    </xf>
    <xf numFmtId="193" fontId="131" fillId="51" borderId="66" xfId="1217" applyNumberFormat="1" applyFont="1" applyFill="1" applyBorder="1" applyAlignment="1">
      <alignment vertical="center" wrapText="1"/>
    </xf>
    <xf numFmtId="193" fontId="128" fillId="46" borderId="84" xfId="1184" applyNumberFormat="1" applyFont="1" applyFill="1" applyBorder="1" applyAlignment="1">
      <alignment vertical="center"/>
    </xf>
    <xf numFmtId="193" fontId="128" fillId="46" borderId="86" xfId="1184" applyNumberFormat="1" applyFont="1" applyFill="1" applyBorder="1" applyAlignment="1">
      <alignment vertical="center"/>
    </xf>
    <xf numFmtId="195" fontId="128" fillId="46" borderId="85" xfId="1184" applyNumberFormat="1" applyFont="1" applyFill="1" applyBorder="1" applyAlignment="1">
      <alignment vertical="center"/>
    </xf>
    <xf numFmtId="195" fontId="128" fillId="46" borderId="87" xfId="1184" applyNumberFormat="1" applyFont="1" applyFill="1" applyBorder="1" applyAlignment="1">
      <alignment vertical="center"/>
    </xf>
    <xf numFmtId="195" fontId="131" fillId="51" borderId="66" xfId="1217" applyNumberFormat="1" applyFont="1" applyFill="1" applyBorder="1" applyAlignment="1">
      <alignment vertical="center" wrapText="1"/>
    </xf>
    <xf numFmtId="4" fontId="131" fillId="51" borderId="84" xfId="1217" applyNumberFormat="1" applyFont="1" applyFill="1" applyBorder="1" applyAlignment="1">
      <alignment vertical="center" wrapText="1"/>
    </xf>
    <xf numFmtId="4" fontId="128" fillId="46" borderId="84" xfId="1184" applyNumberFormat="1" applyFont="1" applyFill="1" applyBorder="1" applyAlignment="1">
      <alignment vertical="center"/>
    </xf>
    <xf numFmtId="4" fontId="128" fillId="46" borderId="86" xfId="1184" applyNumberFormat="1" applyFont="1" applyFill="1" applyBorder="1" applyAlignment="1">
      <alignment vertical="center"/>
    </xf>
    <xf numFmtId="193" fontId="131" fillId="51" borderId="84" xfId="1217" applyNumberFormat="1" applyFont="1" applyFill="1" applyBorder="1" applyAlignment="1">
      <alignment vertical="center" wrapText="1"/>
    </xf>
    <xf numFmtId="193" fontId="131" fillId="51" borderId="86" xfId="1217" applyNumberFormat="1" applyFont="1" applyFill="1" applyBorder="1" applyAlignment="1">
      <alignment vertical="center" wrapText="1"/>
    </xf>
    <xf numFmtId="195" fontId="131" fillId="51" borderId="85" xfId="1217" applyNumberFormat="1" applyFont="1" applyFill="1" applyBorder="1" applyAlignment="1">
      <alignment vertical="center" wrapText="1"/>
    </xf>
    <xf numFmtId="195" fontId="131" fillId="51" borderId="87" xfId="1217" applyNumberFormat="1" applyFont="1" applyFill="1" applyBorder="1" applyAlignment="1">
      <alignment vertical="center" wrapText="1"/>
    </xf>
    <xf numFmtId="1" fontId="17" fillId="0" borderId="0" xfId="1184" applyNumberFormat="1" applyBorder="1"/>
    <xf numFmtId="0" fontId="202" fillId="0" borderId="0" xfId="1176" applyFont="1"/>
    <xf numFmtId="0" fontId="133" fillId="46" borderId="0" xfId="1176" applyFont="1" applyFill="1"/>
    <xf numFmtId="0" fontId="203" fillId="0" borderId="0" xfId="1176" applyFont="1" applyAlignment="1">
      <alignment horizontal="center"/>
    </xf>
    <xf numFmtId="0" fontId="134" fillId="0" borderId="0" xfId="1176" applyFont="1"/>
    <xf numFmtId="0" fontId="59" fillId="0" borderId="0" xfId="1176" applyFont="1" applyAlignment="1">
      <alignment horizontal="right" wrapText="1"/>
    </xf>
    <xf numFmtId="0" fontId="46" fillId="0" borderId="0" xfId="1176" applyAlignment="1"/>
    <xf numFmtId="0" fontId="45" fillId="0" borderId="0" xfId="1176" applyFont="1" applyFill="1" applyAlignment="1">
      <alignment horizontal="centerContinuous" wrapText="1"/>
    </xf>
    <xf numFmtId="0" fontId="135" fillId="0" borderId="0" xfId="1176" applyFont="1" applyAlignment="1">
      <alignment horizontal="centerContinuous"/>
    </xf>
    <xf numFmtId="0" fontId="46" fillId="46" borderId="0" xfId="1176" applyFill="1"/>
    <xf numFmtId="0" fontId="46" fillId="46" borderId="0" xfId="1176" applyFill="1" applyAlignment="1">
      <alignment horizontal="centerContinuous"/>
    </xf>
    <xf numFmtId="0" fontId="21" fillId="0" borderId="17" xfId="1176" applyFont="1" applyBorder="1" applyAlignment="1">
      <alignment horizontal="centerContinuous" vertical="center" wrapText="1"/>
    </xf>
    <xf numFmtId="0" fontId="59" fillId="0" borderId="17" xfId="1176" applyFont="1" applyBorder="1" applyAlignment="1">
      <alignment horizontal="centerContinuous" vertical="center" wrapText="1"/>
    </xf>
    <xf numFmtId="0" fontId="21" fillId="46" borderId="17" xfId="1176" applyFont="1" applyFill="1" applyBorder="1" applyAlignment="1">
      <alignment horizontal="centerContinuous" vertical="center" wrapText="1"/>
    </xf>
    <xf numFmtId="0" fontId="46" fillId="0" borderId="0" xfId="1176" applyAlignment="1">
      <alignment horizontal="centerContinuous" vertical="center" wrapText="1"/>
    </xf>
    <xf numFmtId="0" fontId="203" fillId="0" borderId="0" xfId="1176" applyFont="1" applyAlignment="1">
      <alignment horizontal="center" vertical="center" wrapText="1"/>
    </xf>
    <xf numFmtId="0" fontId="137" fillId="0" borderId="23" xfId="1176" applyFont="1" applyBorder="1" applyAlignment="1">
      <alignment horizontal="left" vertical="center"/>
    </xf>
    <xf numFmtId="0" fontId="21" fillId="0" borderId="23" xfId="1176" applyFont="1" applyBorder="1" applyAlignment="1">
      <alignment horizontal="centerContinuous" vertical="center" wrapText="1"/>
    </xf>
    <xf numFmtId="0" fontId="21" fillId="46" borderId="23" xfId="1176" applyFont="1" applyFill="1" applyBorder="1" applyAlignment="1">
      <alignment horizontal="centerContinuous" vertical="center" wrapText="1"/>
    </xf>
    <xf numFmtId="169" fontId="21" fillId="46" borderId="17" xfId="1176" applyNumberFormat="1" applyFont="1" applyFill="1" applyBorder="1" applyAlignment="1">
      <alignment horizontal="right" wrapText="1"/>
    </xf>
    <xf numFmtId="169" fontId="137" fillId="46" borderId="17" xfId="1176" applyNumberFormat="1" applyFont="1" applyFill="1" applyBorder="1" applyAlignment="1">
      <alignment horizontal="centerContinuous" wrapText="1"/>
    </xf>
    <xf numFmtId="172" fontId="134" fillId="46" borderId="17" xfId="1176" applyNumberFormat="1" applyFont="1" applyFill="1" applyBorder="1" applyAlignment="1">
      <alignment horizontal="centerContinuous"/>
    </xf>
    <xf numFmtId="169" fontId="21" fillId="46" borderId="17" xfId="1176" applyNumberFormat="1" applyFont="1" applyFill="1" applyBorder="1" applyAlignment="1">
      <alignment horizontal="left" wrapText="1"/>
    </xf>
    <xf numFmtId="172" fontId="59" fillId="46" borderId="17" xfId="1176" applyNumberFormat="1" applyFont="1" applyFill="1" applyBorder="1" applyAlignment="1">
      <alignment horizontal="center"/>
    </xf>
    <xf numFmtId="3" fontId="203" fillId="0" borderId="0" xfId="1176" applyNumberFormat="1" applyFont="1" applyAlignment="1">
      <alignment horizontal="center"/>
    </xf>
    <xf numFmtId="169" fontId="137" fillId="46" borderId="17" xfId="1176" applyNumberFormat="1" applyFont="1" applyFill="1" applyBorder="1" applyAlignment="1">
      <alignment horizontal="left" wrapText="1"/>
    </xf>
    <xf numFmtId="170" fontId="137" fillId="46" borderId="17" xfId="1176" applyNumberFormat="1" applyFont="1" applyFill="1" applyBorder="1" applyAlignment="1">
      <alignment horizontal="right" wrapText="1"/>
    </xf>
    <xf numFmtId="172" fontId="134" fillId="46" borderId="17" xfId="1176" applyNumberFormat="1" applyFont="1" applyFill="1" applyBorder="1" applyAlignment="1">
      <alignment horizontal="center"/>
    </xf>
    <xf numFmtId="169" fontId="46" fillId="0" borderId="0" xfId="1176" applyNumberFormat="1"/>
    <xf numFmtId="170" fontId="21" fillId="46" borderId="17" xfId="1176" applyNumberFormat="1" applyFont="1" applyFill="1" applyBorder="1" applyAlignment="1">
      <alignment horizontal="right" wrapText="1"/>
    </xf>
    <xf numFmtId="169" fontId="138" fillId="46" borderId="17" xfId="1176" applyNumberFormat="1" applyFont="1" applyFill="1" applyBorder="1" applyAlignment="1">
      <alignment horizontal="left" wrapText="1"/>
    </xf>
    <xf numFmtId="172" fontId="63" fillId="46" borderId="17" xfId="1176" applyNumberFormat="1" applyFont="1" applyFill="1" applyBorder="1" applyAlignment="1">
      <alignment horizontal="center"/>
    </xf>
    <xf numFmtId="170" fontId="137" fillId="46" borderId="17" xfId="1176" applyNumberFormat="1" applyFont="1" applyFill="1" applyBorder="1" applyAlignment="1">
      <alignment horizontal="centerContinuous" wrapText="1"/>
    </xf>
    <xf numFmtId="169" fontId="204" fillId="47" borderId="17" xfId="1176" applyNumberFormat="1" applyFont="1" applyFill="1" applyBorder="1" applyAlignment="1">
      <alignment horizontal="right" wrapText="1"/>
    </xf>
    <xf numFmtId="169" fontId="205" fillId="47" borderId="17" xfId="1176" applyNumberFormat="1" applyFont="1" applyFill="1" applyBorder="1" applyAlignment="1">
      <alignment wrapText="1"/>
    </xf>
    <xf numFmtId="169" fontId="205" fillId="47" borderId="17" xfId="1176" applyNumberFormat="1" applyFont="1" applyFill="1" applyBorder="1" applyAlignment="1">
      <alignment horizontal="right" wrapText="1"/>
    </xf>
    <xf numFmtId="172" fontId="206" fillId="47" borderId="17" xfId="1176" applyNumberFormat="1" applyFont="1" applyFill="1" applyBorder="1" applyAlignment="1">
      <alignment horizontal="center"/>
    </xf>
    <xf numFmtId="0" fontId="61" fillId="0" borderId="0" xfId="1176" applyFont="1"/>
    <xf numFmtId="0" fontId="137" fillId="0" borderId="17" xfId="1176" applyFont="1" applyBorder="1" applyAlignment="1">
      <alignment horizontal="left" vertical="center"/>
    </xf>
    <xf numFmtId="0" fontId="21" fillId="0" borderId="17" xfId="1176" applyFont="1" applyBorder="1" applyAlignment="1">
      <alignment horizontal="centerContinuous" wrapText="1"/>
    </xf>
    <xf numFmtId="170" fontId="21" fillId="0" borderId="17" xfId="1176" applyNumberFormat="1" applyFont="1" applyBorder="1" applyAlignment="1">
      <alignment horizontal="centerContinuous" wrapText="1"/>
    </xf>
    <xf numFmtId="0" fontId="21" fillId="46" borderId="17" xfId="1176" applyFont="1" applyFill="1" applyBorder="1" applyAlignment="1">
      <alignment horizontal="centerContinuous" wrapText="1"/>
    </xf>
    <xf numFmtId="0" fontId="21" fillId="0" borderId="17" xfId="1176" applyFont="1" applyBorder="1" applyAlignment="1">
      <alignment horizontal="center"/>
    </xf>
    <xf numFmtId="0" fontId="21" fillId="46" borderId="17" xfId="1176" applyFont="1" applyFill="1" applyBorder="1" applyAlignment="1">
      <alignment horizontal="left" wrapText="1"/>
    </xf>
    <xf numFmtId="169" fontId="204" fillId="44" borderId="17" xfId="1176" applyNumberFormat="1" applyFont="1" applyFill="1" applyBorder="1" applyAlignment="1">
      <alignment horizontal="right" wrapText="1"/>
    </xf>
    <xf numFmtId="169" fontId="204" fillId="49" borderId="17" xfId="1176" applyNumberFormat="1" applyFont="1" applyFill="1" applyBorder="1" applyAlignment="1">
      <alignment horizontal="right" wrapText="1"/>
    </xf>
    <xf numFmtId="172" fontId="59" fillId="48" borderId="17" xfId="1176" applyNumberFormat="1" applyFont="1" applyFill="1" applyBorder="1" applyAlignment="1">
      <alignment horizontal="center"/>
    </xf>
    <xf numFmtId="170" fontId="203" fillId="0" borderId="0" xfId="1176" applyNumberFormat="1" applyFont="1" applyAlignment="1">
      <alignment horizontal="center"/>
    </xf>
    <xf numFmtId="3" fontId="46" fillId="0" borderId="0" xfId="1176" applyNumberFormat="1"/>
    <xf numFmtId="0" fontId="139" fillId="0" borderId="17" xfId="1176" applyFont="1" applyBorder="1" applyAlignment="1">
      <alignment horizontal="left"/>
    </xf>
    <xf numFmtId="0" fontId="21" fillId="0" borderId="17" xfId="1176" applyFont="1" applyBorder="1" applyAlignment="1">
      <alignment horizontal="left"/>
    </xf>
    <xf numFmtId="0" fontId="137" fillId="0" borderId="17" xfId="1176" applyFont="1" applyBorder="1" applyAlignment="1">
      <alignment horizontal="left"/>
    </xf>
    <xf numFmtId="169" fontId="207" fillId="44" borderId="17" xfId="1176" applyNumberFormat="1" applyFont="1" applyFill="1" applyBorder="1" applyAlignment="1">
      <alignment horizontal="right" wrapText="1"/>
    </xf>
    <xf numFmtId="0" fontId="46" fillId="48" borderId="0" xfId="1176" applyFill="1"/>
    <xf numFmtId="170" fontId="208" fillId="49" borderId="17" xfId="1176" applyNumberFormat="1" applyFont="1" applyFill="1" applyBorder="1" applyAlignment="1">
      <alignment horizontal="right" wrapText="1"/>
    </xf>
    <xf numFmtId="169" fontId="208" fillId="49" borderId="17" xfId="1176" applyNumberFormat="1" applyFont="1" applyFill="1" applyBorder="1" applyAlignment="1">
      <alignment horizontal="right" wrapText="1"/>
    </xf>
    <xf numFmtId="3" fontId="46" fillId="48" borderId="0" xfId="1176" applyNumberFormat="1" applyFont="1" applyFill="1" applyAlignment="1">
      <alignment horizontal="center"/>
    </xf>
    <xf numFmtId="0" fontId="21" fillId="48" borderId="17" xfId="1176" applyFont="1" applyFill="1" applyBorder="1" applyAlignment="1">
      <alignment horizontal="left" wrapText="1"/>
    </xf>
    <xf numFmtId="4" fontId="208" fillId="49" borderId="17" xfId="1176" applyNumberFormat="1" applyFont="1" applyFill="1" applyBorder="1" applyAlignment="1">
      <alignment horizontal="right" wrapText="1"/>
    </xf>
    <xf numFmtId="2" fontId="46" fillId="0" borderId="0" xfId="1176" applyNumberFormat="1"/>
    <xf numFmtId="169" fontId="209" fillId="49" borderId="17" xfId="1176" applyNumberFormat="1" applyFont="1" applyFill="1" applyBorder="1" applyAlignment="1">
      <alignment horizontal="right" wrapText="1"/>
    </xf>
    <xf numFmtId="0" fontId="138" fillId="28" borderId="17" xfId="1176" applyFont="1" applyFill="1" applyBorder="1" applyAlignment="1">
      <alignment horizontal="center"/>
    </xf>
    <xf numFmtId="0" fontId="138" fillId="28" borderId="17" xfId="1176" applyFont="1" applyFill="1" applyBorder="1" applyAlignment="1">
      <alignment horizontal="left" wrapText="1"/>
    </xf>
    <xf numFmtId="169" fontId="138" fillId="28" borderId="17" xfId="1176" applyNumberFormat="1" applyFont="1" applyFill="1" applyBorder="1" applyAlignment="1">
      <alignment horizontal="right"/>
    </xf>
    <xf numFmtId="172" fontId="138" fillId="28" borderId="17" xfId="1176" applyNumberFormat="1" applyFont="1" applyFill="1" applyBorder="1" applyAlignment="1">
      <alignment horizontal="right"/>
    </xf>
    <xf numFmtId="0" fontId="138" fillId="0" borderId="0" xfId="1176" applyFont="1" applyBorder="1" applyAlignment="1">
      <alignment horizontal="center"/>
    </xf>
    <xf numFmtId="0" fontId="138" fillId="0" borderId="0" xfId="1176" applyFont="1" applyBorder="1"/>
    <xf numFmtId="170" fontId="138" fillId="0" borderId="0" xfId="1176" applyNumberFormat="1" applyFont="1" applyBorder="1"/>
    <xf numFmtId="0" fontId="186" fillId="0" borderId="0" xfId="1176" applyFont="1" applyAlignment="1">
      <alignment horizontal="center"/>
    </xf>
    <xf numFmtId="0" fontId="21" fillId="0" borderId="0" xfId="1176" applyFont="1" applyBorder="1" applyAlignment="1">
      <alignment horizontal="left"/>
    </xf>
    <xf numFmtId="0" fontId="21" fillId="0" borderId="0" xfId="1176" applyFont="1" applyBorder="1"/>
    <xf numFmtId="170" fontId="21" fillId="0" borderId="0" xfId="1176" applyNumberFormat="1" applyFont="1" applyBorder="1"/>
    <xf numFmtId="0" fontId="46" fillId="46" borderId="0" xfId="1176" applyFont="1" applyFill="1"/>
    <xf numFmtId="0" fontId="21" fillId="0" borderId="0" xfId="1176" applyFont="1" applyFill="1" applyBorder="1"/>
    <xf numFmtId="0" fontId="21" fillId="0" borderId="0" xfId="1176" applyFont="1" applyAlignment="1">
      <alignment horizontal="center"/>
    </xf>
    <xf numFmtId="0" fontId="21" fillId="46" borderId="0" xfId="1176" applyFont="1" applyFill="1"/>
    <xf numFmtId="0" fontId="204" fillId="0" borderId="0" xfId="1176" applyFont="1" applyAlignment="1">
      <alignment horizontal="center"/>
    </xf>
    <xf numFmtId="169" fontId="204" fillId="48" borderId="17" xfId="1176" applyNumberFormat="1" applyFont="1" applyFill="1" applyBorder="1" applyAlignment="1">
      <alignment horizontal="right" wrapText="1"/>
    </xf>
    <xf numFmtId="171" fontId="46" fillId="0" borderId="0" xfId="1176" applyNumberFormat="1"/>
    <xf numFmtId="4" fontId="137" fillId="46" borderId="17" xfId="1176" applyNumberFormat="1" applyFont="1" applyFill="1" applyBorder="1" applyAlignment="1">
      <alignment horizontal="right" wrapText="1"/>
    </xf>
    <xf numFmtId="4" fontId="21" fillId="46" borderId="17" xfId="1176" applyNumberFormat="1" applyFont="1" applyFill="1" applyBorder="1" applyAlignment="1">
      <alignment horizontal="right" wrapText="1"/>
    </xf>
    <xf numFmtId="171" fontId="204" fillId="48" borderId="17" xfId="1176" applyNumberFormat="1" applyFont="1" applyFill="1" applyBorder="1" applyAlignment="1">
      <alignment horizontal="right" wrapText="1"/>
    </xf>
    <xf numFmtId="171" fontId="21" fillId="46" borderId="17" xfId="1176" applyNumberFormat="1" applyFont="1" applyFill="1" applyBorder="1" applyAlignment="1">
      <alignment horizontal="right" wrapText="1"/>
    </xf>
    <xf numFmtId="171" fontId="137" fillId="46" borderId="17" xfId="1176" applyNumberFormat="1" applyFont="1" applyFill="1" applyBorder="1" applyAlignment="1">
      <alignment horizontal="right" wrapText="1"/>
    </xf>
    <xf numFmtId="171" fontId="138" fillId="46" borderId="17" xfId="1176" applyNumberFormat="1" applyFont="1" applyFill="1" applyBorder="1" applyAlignment="1">
      <alignment horizontal="right" wrapText="1"/>
    </xf>
    <xf numFmtId="4" fontId="138" fillId="46" borderId="17" xfId="1176" applyNumberFormat="1" applyFont="1" applyFill="1" applyBorder="1" applyAlignment="1">
      <alignment horizontal="right" wrapText="1"/>
    </xf>
    <xf numFmtId="171" fontId="205" fillId="47" borderId="17" xfId="1176" applyNumberFormat="1" applyFont="1" applyFill="1" applyBorder="1" applyAlignment="1">
      <alignment horizontal="right" wrapText="1"/>
    </xf>
    <xf numFmtId="171" fontId="131" fillId="51" borderId="66" xfId="1217" applyNumberFormat="1" applyFont="1" applyFill="1" applyBorder="1" applyAlignment="1">
      <alignment vertical="center" wrapText="1"/>
    </xf>
    <xf numFmtId="171" fontId="128" fillId="46" borderId="85" xfId="1184" applyNumberFormat="1" applyFont="1" applyFill="1" applyBorder="1" applyAlignment="1">
      <alignment vertical="center"/>
    </xf>
    <xf numFmtId="171" fontId="128" fillId="46" borderId="87" xfId="1184" applyNumberFormat="1" applyFont="1" applyFill="1" applyBorder="1" applyAlignment="1">
      <alignment vertical="center"/>
    </xf>
    <xf numFmtId="193" fontId="128" fillId="44" borderId="84" xfId="1184" applyNumberFormat="1" applyFont="1" applyFill="1" applyBorder="1" applyAlignment="1">
      <alignment vertical="center"/>
    </xf>
    <xf numFmtId="171" fontId="128" fillId="44" borderId="85" xfId="1184" applyNumberFormat="1" applyFont="1" applyFill="1" applyBorder="1" applyAlignment="1">
      <alignment vertical="center"/>
    </xf>
    <xf numFmtId="171" fontId="49" fillId="0" borderId="17" xfId="0" applyNumberFormat="1" applyFont="1" applyBorder="1"/>
    <xf numFmtId="4" fontId="49" fillId="0" borderId="17" xfId="0" applyNumberFormat="1" applyFont="1" applyBorder="1"/>
    <xf numFmtId="4" fontId="49" fillId="46" borderId="17" xfId="0" applyNumberFormat="1" applyFont="1" applyFill="1" applyBorder="1"/>
    <xf numFmtId="171" fontId="49" fillId="46" borderId="17" xfId="0" applyNumberFormat="1" applyFont="1" applyFill="1" applyBorder="1"/>
    <xf numFmtId="4" fontId="50" fillId="46" borderId="17" xfId="0" applyNumberFormat="1" applyFont="1" applyFill="1" applyBorder="1"/>
    <xf numFmtId="4" fontId="50" fillId="46" borderId="17" xfId="1216" applyNumberFormat="1" applyFont="1" applyFill="1" applyBorder="1" applyAlignment="1">
      <alignment horizontal="right" wrapText="1"/>
    </xf>
    <xf numFmtId="171" fontId="50" fillId="46" borderId="17" xfId="0" applyNumberFormat="1" applyFont="1" applyFill="1" applyBorder="1"/>
    <xf numFmtId="171" fontId="50" fillId="46" borderId="17" xfId="1216" applyNumberFormat="1" applyFont="1" applyFill="1" applyBorder="1" applyAlignment="1">
      <alignment horizontal="right" wrapText="1"/>
    </xf>
    <xf numFmtId="193" fontId="50" fillId="46" borderId="17" xfId="1216" applyNumberFormat="1" applyFont="1" applyFill="1" applyBorder="1" applyAlignment="1">
      <alignment horizontal="right" wrapText="1"/>
    </xf>
    <xf numFmtId="4" fontId="128" fillId="46" borderId="89" xfId="1184" applyNumberFormat="1" applyFont="1" applyFill="1" applyBorder="1" applyAlignment="1">
      <alignment horizontal="right" vertical="center" wrapText="1"/>
    </xf>
    <xf numFmtId="171" fontId="128" fillId="46" borderId="85" xfId="1184" applyNumberFormat="1" applyFont="1" applyFill="1" applyBorder="1" applyAlignment="1">
      <alignment horizontal="right" vertical="center" wrapText="1"/>
    </xf>
    <xf numFmtId="171" fontId="191" fillId="44" borderId="0" xfId="1184" applyNumberFormat="1" applyFont="1" applyFill="1"/>
    <xf numFmtId="49" fontId="171" fillId="44" borderId="66" xfId="1181" applyNumberFormat="1" applyFont="1" applyFill="1" applyBorder="1" applyAlignment="1">
      <alignment horizontal="center"/>
    </xf>
    <xf numFmtId="0" fontId="171" fillId="44" borderId="68" xfId="1181" applyFont="1" applyFill="1" applyBorder="1" applyAlignment="1">
      <alignment horizontal="left" wrapText="1"/>
    </xf>
    <xf numFmtId="169" fontId="171" fillId="44" borderId="66" xfId="1181" applyNumberFormat="1" applyFont="1" applyFill="1" applyBorder="1" applyAlignment="1">
      <alignment horizontal="center"/>
    </xf>
    <xf numFmtId="1" fontId="191" fillId="46" borderId="0" xfId="1181" applyNumberFormat="1" applyFont="1" applyFill="1"/>
    <xf numFmtId="169" fontId="170" fillId="49" borderId="66" xfId="1181" applyNumberFormat="1" applyFont="1" applyFill="1" applyBorder="1" applyAlignment="1">
      <alignment horizontal="center"/>
    </xf>
    <xf numFmtId="4" fontId="15" fillId="46" borderId="0" xfId="0" applyNumberFormat="1" applyFont="1" applyFill="1"/>
    <xf numFmtId="171" fontId="15" fillId="46" borderId="0" xfId="0" applyNumberFormat="1" applyFont="1" applyFill="1"/>
    <xf numFmtId="167" fontId="191" fillId="0" borderId="0" xfId="1181" applyNumberFormat="1" applyFont="1"/>
    <xf numFmtId="171" fontId="191" fillId="0" borderId="0" xfId="1181" applyNumberFormat="1" applyFont="1"/>
    <xf numFmtId="3" fontId="53" fillId="46" borderId="0" xfId="1181" applyNumberFormat="1" applyFont="1" applyFill="1"/>
    <xf numFmtId="201" fontId="191" fillId="46" borderId="0" xfId="1181" applyNumberFormat="1" applyFont="1" applyFill="1"/>
    <xf numFmtId="201" fontId="8" fillId="0" borderId="0" xfId="1181" applyNumberFormat="1" applyFont="1"/>
    <xf numFmtId="201" fontId="8" fillId="0" borderId="66" xfId="1181" applyNumberFormat="1" applyFont="1" applyBorder="1" applyAlignment="1">
      <alignment horizontal="center" vertical="top" wrapText="1"/>
    </xf>
    <xf numFmtId="201" fontId="8" fillId="0" borderId="66" xfId="1181" applyNumberFormat="1" applyFont="1" applyBorder="1" applyAlignment="1">
      <alignment horizontal="center"/>
    </xf>
    <xf numFmtId="201" fontId="171" fillId="44" borderId="66" xfId="1181" applyNumberFormat="1" applyFont="1" applyFill="1" applyBorder="1" applyAlignment="1">
      <alignment horizontal="center"/>
    </xf>
    <xf numFmtId="201" fontId="171" fillId="48" borderId="66" xfId="1181" applyNumberFormat="1" applyFont="1" applyFill="1" applyBorder="1" applyAlignment="1">
      <alignment horizontal="center"/>
    </xf>
    <xf numFmtId="201" fontId="8" fillId="48" borderId="66" xfId="1181" applyNumberFormat="1" applyFont="1" applyFill="1" applyBorder="1" applyAlignment="1">
      <alignment horizontal="center"/>
    </xf>
    <xf numFmtId="201" fontId="8" fillId="0" borderId="78" xfId="1181" applyNumberFormat="1" applyFont="1" applyBorder="1" applyAlignment="1">
      <alignment horizontal="center"/>
    </xf>
    <xf numFmtId="201" fontId="171" fillId="0" borderId="66" xfId="1181" applyNumberFormat="1" applyFont="1" applyBorder="1" applyAlignment="1">
      <alignment horizontal="center"/>
    </xf>
    <xf numFmtId="201" fontId="8" fillId="0" borderId="67" xfId="1181" applyNumberFormat="1" applyFont="1" applyBorder="1" applyAlignment="1">
      <alignment horizontal="center"/>
    </xf>
    <xf numFmtId="201" fontId="170" fillId="49" borderId="66" xfId="1181" applyNumberFormat="1" applyFont="1" applyFill="1" applyBorder="1" applyAlignment="1">
      <alignment horizontal="center"/>
    </xf>
    <xf numFmtId="201" fontId="22" fillId="0" borderId="0" xfId="1181" applyNumberFormat="1" applyFont="1"/>
    <xf numFmtId="3" fontId="8" fillId="0" borderId="66" xfId="1181" applyNumberFormat="1" applyFont="1" applyBorder="1" applyAlignment="1">
      <alignment horizontal="center"/>
    </xf>
    <xf numFmtId="0" fontId="76" fillId="0" borderId="33" xfId="0" applyFont="1" applyBorder="1" applyAlignment="1">
      <alignment horizontal="centerContinuous" vertical="top"/>
    </xf>
    <xf numFmtId="0" fontId="10" fillId="46" borderId="6" xfId="0" applyFont="1" applyFill="1" applyBorder="1" applyAlignment="1">
      <alignment horizontal="centerContinuous" vertical="top" wrapText="1"/>
    </xf>
    <xf numFmtId="0" fontId="10" fillId="46" borderId="26" xfId="0" applyFont="1" applyFill="1" applyBorder="1" applyAlignment="1">
      <alignment horizontal="centerContinuous" vertical="top" wrapText="1"/>
    </xf>
    <xf numFmtId="0" fontId="76" fillId="48" borderId="28" xfId="0" applyFont="1" applyFill="1" applyBorder="1" applyAlignment="1">
      <alignment horizontal="left" vertical="top"/>
    </xf>
    <xf numFmtId="0" fontId="10" fillId="48" borderId="29" xfId="0" applyFont="1" applyFill="1" applyBorder="1" applyAlignment="1">
      <alignment horizontal="centerContinuous" vertical="top" wrapText="1"/>
    </xf>
    <xf numFmtId="0" fontId="10" fillId="48" borderId="27" xfId="0" applyFont="1" applyFill="1" applyBorder="1" applyAlignment="1">
      <alignment horizontal="centerContinuous" vertical="top" wrapText="1"/>
    </xf>
    <xf numFmtId="49" fontId="8" fillId="48" borderId="17" xfId="1211" applyNumberFormat="1" applyFont="1" applyFill="1" applyBorder="1" applyAlignment="1">
      <alignment horizontal="center" wrapText="1"/>
    </xf>
    <xf numFmtId="0" fontId="8" fillId="48" borderId="17" xfId="1211" applyFont="1" applyFill="1" applyBorder="1" applyAlignment="1">
      <alignment horizontal="center" wrapText="1"/>
    </xf>
    <xf numFmtId="4" fontId="50" fillId="48" borderId="17" xfId="1211" applyNumberFormat="1" applyFont="1" applyFill="1" applyBorder="1" applyAlignment="1">
      <alignment wrapText="1"/>
    </xf>
    <xf numFmtId="164" fontId="48" fillId="46" borderId="0" xfId="0" applyNumberFormat="1" applyFont="1" applyFill="1"/>
    <xf numFmtId="0" fontId="76" fillId="46" borderId="0" xfId="1211" applyFont="1" applyFill="1" applyBorder="1" applyAlignment="1">
      <alignment horizontal="left"/>
    </xf>
    <xf numFmtId="201" fontId="15" fillId="0" borderId="0" xfId="0" applyNumberFormat="1" applyFont="1"/>
    <xf numFmtId="0" fontId="48" fillId="0" borderId="0" xfId="0" applyFont="1" applyAlignment="1">
      <alignment horizontal="right"/>
    </xf>
    <xf numFmtId="164" fontId="10" fillId="0" borderId="0" xfId="0" applyNumberFormat="1" applyFont="1" applyFill="1"/>
    <xf numFmtId="0" fontId="190" fillId="49" borderId="0" xfId="0" applyFont="1" applyFill="1"/>
    <xf numFmtId="0" fontId="190" fillId="49" borderId="0" xfId="0" applyFont="1" applyFill="1" applyAlignment="1">
      <alignment horizontal="right"/>
    </xf>
    <xf numFmtId="164" fontId="210" fillId="49" borderId="0" xfId="0" applyNumberFormat="1" applyFont="1" applyFill="1"/>
    <xf numFmtId="0" fontId="210" fillId="49" borderId="0" xfId="0" applyFont="1" applyFill="1"/>
    <xf numFmtId="164" fontId="10" fillId="0" borderId="20" xfId="0" applyNumberFormat="1" applyFont="1" applyFill="1" applyBorder="1"/>
    <xf numFmtId="170" fontId="10" fillId="46" borderId="0" xfId="0" applyNumberFormat="1" applyFont="1" applyFill="1"/>
    <xf numFmtId="0" fontId="10" fillId="46" borderId="23" xfId="1211" applyFont="1" applyFill="1" applyBorder="1" applyAlignment="1">
      <alignment horizontal="center" vertical="center" wrapText="1"/>
    </xf>
    <xf numFmtId="0" fontId="76" fillId="46" borderId="0" xfId="1211" applyFont="1" applyFill="1" applyBorder="1" applyAlignment="1"/>
    <xf numFmtId="0" fontId="12" fillId="46" borderId="0" xfId="1211" applyFont="1" applyFill="1" applyBorder="1" applyAlignment="1">
      <alignment horizontal="centerContinuous" wrapText="1"/>
    </xf>
    <xf numFmtId="0" fontId="65" fillId="0" borderId="0" xfId="1184" applyFont="1" applyBorder="1" applyAlignment="1">
      <alignment horizontal="center"/>
    </xf>
    <xf numFmtId="0" fontId="77" fillId="49" borderId="0" xfId="0" applyFont="1" applyFill="1" applyAlignment="1">
      <alignment horizontal="right"/>
    </xf>
    <xf numFmtId="0" fontId="8" fillId="0" borderId="0" xfId="1181" applyFont="1" applyAlignment="1">
      <alignment wrapText="1"/>
    </xf>
    <xf numFmtId="0" fontId="65" fillId="0" borderId="0" xfId="1184" applyFont="1" applyBorder="1" applyAlignment="1">
      <alignment horizontal="left"/>
    </xf>
    <xf numFmtId="0" fontId="0" fillId="52" borderId="0" xfId="0" applyFill="1"/>
    <xf numFmtId="169" fontId="0" fillId="52" borderId="0" xfId="0" applyNumberFormat="1" applyFill="1"/>
    <xf numFmtId="0" fontId="0" fillId="52" borderId="0" xfId="0" applyFill="1" applyAlignment="1">
      <alignment horizontal="right"/>
    </xf>
    <xf numFmtId="4" fontId="0" fillId="52" borderId="0" xfId="0" applyNumberFormat="1" applyFill="1"/>
    <xf numFmtId="0" fontId="179" fillId="52" borderId="0" xfId="0" applyFont="1" applyFill="1" applyAlignment="1">
      <alignment horizontal="right"/>
    </xf>
    <xf numFmtId="0" fontId="179" fillId="52" borderId="0" xfId="0" applyFont="1" applyFill="1" applyAlignment="1">
      <alignment horizontal="left"/>
    </xf>
    <xf numFmtId="0" fontId="179" fillId="52" borderId="0" xfId="0" applyFont="1" applyFill="1"/>
    <xf numFmtId="164" fontId="191" fillId="0" borderId="0" xfId="0" applyNumberFormat="1" applyFont="1"/>
    <xf numFmtId="0" fontId="57" fillId="0" borderId="0" xfId="1215" applyFont="1" applyFill="1" applyAlignment="1">
      <alignment horizontal="left"/>
    </xf>
    <xf numFmtId="3" fontId="8" fillId="0" borderId="0" xfId="0" applyNumberFormat="1" applyFont="1" applyAlignment="1">
      <alignment horizontal="right"/>
    </xf>
    <xf numFmtId="0" fontId="87" fillId="49" borderId="0" xfId="0" applyFont="1" applyFill="1" applyBorder="1"/>
    <xf numFmtId="0" fontId="69" fillId="49" borderId="0" xfId="0" applyFont="1" applyFill="1" applyBorder="1"/>
    <xf numFmtId="10" fontId="87" fillId="49" borderId="0" xfId="0" applyNumberFormat="1" applyFont="1" applyFill="1" applyBorder="1"/>
    <xf numFmtId="2" fontId="8" fillId="0" borderId="0" xfId="0" applyNumberFormat="1" applyFont="1" applyBorder="1"/>
    <xf numFmtId="1" fontId="8" fillId="0" borderId="0" xfId="0" applyNumberFormat="1" applyFont="1" applyBorder="1"/>
    <xf numFmtId="0" fontId="48" fillId="0" borderId="0" xfId="0" quotePrefix="1" applyFont="1" applyBorder="1" applyAlignment="1">
      <alignment horizontal="centerContinuous"/>
    </xf>
    <xf numFmtId="0" fontId="10" fillId="0" borderId="0" xfId="0" applyFont="1" applyBorder="1" applyAlignment="1">
      <alignment horizontal="centerContinuous"/>
    </xf>
    <xf numFmtId="0" fontId="48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48" fillId="0" borderId="24" xfId="0" applyFont="1" applyBorder="1" applyAlignment="1">
      <alignment vertical="center" wrapText="1"/>
    </xf>
    <xf numFmtId="0" fontId="13" fillId="0" borderId="24" xfId="0" applyFont="1" applyBorder="1"/>
    <xf numFmtId="0" fontId="50" fillId="0" borderId="24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45" fillId="0" borderId="24" xfId="0" applyFont="1" applyBorder="1" applyAlignment="1">
      <alignment horizontal="center"/>
    </xf>
    <xf numFmtId="0" fontId="13" fillId="0" borderId="17" xfId="0" applyFont="1" applyBorder="1" applyAlignment="1">
      <alignment horizontal="centerContinuous" vertical="center" wrapText="1"/>
    </xf>
    <xf numFmtId="0" fontId="142" fillId="0" borderId="17" xfId="0" applyFont="1" applyBorder="1" applyAlignment="1">
      <alignment horizontal="centerContinuous" vertical="center" wrapText="1"/>
    </xf>
    <xf numFmtId="0" fontId="8" fillId="0" borderId="48" xfId="0" applyFont="1" applyBorder="1"/>
    <xf numFmtId="0" fontId="8" fillId="0" borderId="17" xfId="0" applyFont="1" applyBorder="1" applyAlignment="1">
      <alignment horizontal="centerContinuous" vertical="center" wrapText="1"/>
    </xf>
    <xf numFmtId="0" fontId="96" fillId="0" borderId="17" xfId="0" applyFont="1" applyBorder="1" applyAlignment="1">
      <alignment horizontal="centerContinuous" vertical="center" wrapText="1"/>
    </xf>
    <xf numFmtId="0" fontId="96" fillId="0" borderId="17" xfId="0" applyFont="1" applyBorder="1" applyAlignment="1">
      <alignment horizontal="center" vertical="center" wrapText="1"/>
    </xf>
    <xf numFmtId="170" fontId="96" fillId="0" borderId="17" xfId="0" applyNumberFormat="1" applyFont="1" applyBorder="1" applyAlignment="1">
      <alignment horizontal="center" vertical="center" wrapText="1"/>
    </xf>
    <xf numFmtId="0" fontId="8" fillId="0" borderId="17" xfId="0" applyFont="1" applyBorder="1" applyAlignment="1">
      <alignment horizontal="left"/>
    </xf>
    <xf numFmtId="0" fontId="96" fillId="0" borderId="17" xfId="0" applyFont="1" applyBorder="1" applyAlignment="1">
      <alignment horizontal="left" vertical="center" wrapText="1"/>
    </xf>
    <xf numFmtId="169" fontId="96" fillId="0" borderId="17" xfId="0" applyNumberFormat="1" applyFont="1" applyBorder="1" applyAlignment="1">
      <alignment vertical="top"/>
    </xf>
    <xf numFmtId="0" fontId="96" fillId="0" borderId="17" xfId="0" applyFont="1" applyBorder="1" applyAlignment="1">
      <alignment vertical="top"/>
    </xf>
    <xf numFmtId="0" fontId="15" fillId="0" borderId="17" xfId="0" applyFont="1" applyBorder="1" applyAlignment="1">
      <alignment vertical="top"/>
    </xf>
    <xf numFmtId="4" fontId="15" fillId="0" borderId="17" xfId="0" applyNumberFormat="1" applyFont="1" applyBorder="1" applyAlignment="1">
      <alignment vertical="top"/>
    </xf>
    <xf numFmtId="0" fontId="7" fillId="48" borderId="17" xfId="0" applyFont="1" applyFill="1" applyBorder="1" applyAlignment="1">
      <alignment horizontal="left" vertical="center" wrapText="1"/>
    </xf>
    <xf numFmtId="194" fontId="141" fillId="48" borderId="17" xfId="1216" applyNumberFormat="1" applyFont="1" applyFill="1" applyBorder="1" applyAlignment="1">
      <alignment horizontal="right" wrapText="1"/>
    </xf>
    <xf numFmtId="2" fontId="8" fillId="46" borderId="48" xfId="0" applyNumberFormat="1" applyFont="1" applyFill="1" applyBorder="1"/>
    <xf numFmtId="164" fontId="96" fillId="0" borderId="17" xfId="0" applyNumberFormat="1" applyFont="1" applyBorder="1" applyAlignment="1">
      <alignment vertical="top"/>
    </xf>
    <xf numFmtId="0" fontId="141" fillId="0" borderId="17" xfId="0" applyFont="1" applyBorder="1" applyAlignment="1">
      <alignment vertical="top"/>
    </xf>
    <xf numFmtId="164" fontId="15" fillId="0" borderId="17" xfId="0" applyNumberFormat="1" applyFont="1" applyBorder="1" applyAlignment="1">
      <alignment vertical="top"/>
    </xf>
    <xf numFmtId="0" fontId="23" fillId="0" borderId="0" xfId="0" applyFont="1" applyBorder="1"/>
    <xf numFmtId="0" fontId="96" fillId="3" borderId="17" xfId="0" applyFont="1" applyFill="1" applyBorder="1" applyAlignment="1">
      <alignment horizontal="left" vertical="center" wrapText="1"/>
    </xf>
    <xf numFmtId="194" fontId="15" fillId="3" borderId="17" xfId="1216" applyNumberFormat="1" applyFont="1" applyFill="1" applyBorder="1" applyAlignment="1">
      <alignment horizontal="right" wrapText="1"/>
    </xf>
    <xf numFmtId="169" fontId="96" fillId="3" borderId="17" xfId="0" applyNumberFormat="1" applyFont="1" applyFill="1" applyBorder="1" applyAlignment="1">
      <alignment vertical="top"/>
    </xf>
    <xf numFmtId="0" fontId="23" fillId="0" borderId="48" xfId="0" applyFont="1" applyBorder="1" applyAlignment="1">
      <alignment horizontal="right"/>
    </xf>
    <xf numFmtId="194" fontId="23" fillId="0" borderId="0" xfId="0" applyNumberFormat="1" applyFont="1" applyBorder="1"/>
    <xf numFmtId="0" fontId="171" fillId="3" borderId="17" xfId="0" applyFont="1" applyFill="1" applyBorder="1" applyAlignment="1">
      <alignment horizontal="left" vertical="center" wrapText="1"/>
    </xf>
    <xf numFmtId="169" fontId="7" fillId="48" borderId="17" xfId="0" applyNumberFormat="1" applyFont="1" applyFill="1" applyBorder="1" applyAlignment="1"/>
    <xf numFmtId="194" fontId="8" fillId="46" borderId="48" xfId="0" applyNumberFormat="1" applyFont="1" applyFill="1" applyBorder="1"/>
    <xf numFmtId="194" fontId="8" fillId="46" borderId="0" xfId="0" applyNumberFormat="1" applyFont="1" applyFill="1" applyBorder="1"/>
    <xf numFmtId="173" fontId="15" fillId="3" borderId="17" xfId="1216" applyNumberFormat="1" applyFont="1" applyFill="1" applyBorder="1" applyAlignment="1">
      <alignment horizontal="right" wrapText="1"/>
    </xf>
    <xf numFmtId="194" fontId="7" fillId="48" borderId="17" xfId="1216" applyNumberFormat="1" applyFont="1" applyFill="1" applyBorder="1" applyAlignment="1">
      <alignment horizontal="right" wrapText="1"/>
    </xf>
    <xf numFmtId="0" fontId="8" fillId="33" borderId="0" xfId="0" applyFont="1" applyFill="1" applyBorder="1"/>
    <xf numFmtId="194" fontId="96" fillId="0" borderId="17" xfId="0" applyNumberFormat="1" applyFont="1" applyBorder="1" applyAlignment="1"/>
    <xf numFmtId="168" fontId="8" fillId="33" borderId="0" xfId="0" applyNumberFormat="1" applyFont="1" applyFill="1" applyBorder="1"/>
    <xf numFmtId="169" fontId="8" fillId="33" borderId="48" xfId="0" applyNumberFormat="1" applyFont="1" applyFill="1" applyBorder="1"/>
    <xf numFmtId="0" fontId="171" fillId="48" borderId="17" xfId="0" applyFont="1" applyFill="1" applyBorder="1" applyAlignment="1">
      <alignment horizontal="left"/>
    </xf>
    <xf numFmtId="0" fontId="171" fillId="48" borderId="17" xfId="0" applyFont="1" applyFill="1" applyBorder="1" applyAlignment="1">
      <alignment horizontal="left" vertical="center" wrapText="1"/>
    </xf>
    <xf numFmtId="194" fontId="171" fillId="48" borderId="17" xfId="1216" applyNumberFormat="1" applyFont="1" applyFill="1" applyBorder="1" applyAlignment="1">
      <alignment horizontal="right" wrapText="1"/>
    </xf>
    <xf numFmtId="173" fontId="171" fillId="48" borderId="17" xfId="1216" applyNumberFormat="1" applyFont="1" applyFill="1" applyBorder="1" applyAlignment="1">
      <alignment horizontal="right" wrapText="1"/>
    </xf>
    <xf numFmtId="169" fontId="171" fillId="33" borderId="48" xfId="0" applyNumberFormat="1" applyFont="1" applyFill="1" applyBorder="1"/>
    <xf numFmtId="194" fontId="171" fillId="33" borderId="0" xfId="0" applyNumberFormat="1" applyFont="1" applyFill="1" applyBorder="1"/>
    <xf numFmtId="169" fontId="8" fillId="46" borderId="0" xfId="0" applyNumberFormat="1" applyFont="1" applyFill="1" applyBorder="1"/>
    <xf numFmtId="0" fontId="8" fillId="0" borderId="17" xfId="0" applyFont="1" applyFill="1" applyBorder="1" applyAlignment="1">
      <alignment horizontal="left" vertical="center" wrapText="1"/>
    </xf>
    <xf numFmtId="0" fontId="96" fillId="0" borderId="17" xfId="0" applyFont="1" applyFill="1" applyBorder="1" applyAlignment="1">
      <alignment vertical="top"/>
    </xf>
    <xf numFmtId="173" fontId="15" fillId="0" borderId="17" xfId="1216" applyNumberFormat="1" applyFont="1" applyFill="1" applyBorder="1" applyAlignment="1">
      <alignment horizontal="right" wrapText="1"/>
    </xf>
    <xf numFmtId="0" fontId="15" fillId="0" borderId="17" xfId="0" applyFont="1" applyFill="1" applyBorder="1" applyAlignment="1">
      <alignment vertical="top"/>
    </xf>
    <xf numFmtId="0" fontId="8" fillId="48" borderId="17" xfId="0" applyFont="1" applyFill="1" applyBorder="1"/>
    <xf numFmtId="168" fontId="171" fillId="48" borderId="17" xfId="0" applyNumberFormat="1" applyFont="1" applyFill="1" applyBorder="1" applyAlignment="1"/>
    <xf numFmtId="4" fontId="8" fillId="46" borderId="0" xfId="0" applyNumberFormat="1" applyFont="1" applyFill="1" applyBorder="1"/>
    <xf numFmtId="4" fontId="8" fillId="46" borderId="48" xfId="0" applyNumberFormat="1" applyFont="1" applyFill="1" applyBorder="1"/>
    <xf numFmtId="168" fontId="8" fillId="46" borderId="48" xfId="0" applyNumberFormat="1" applyFont="1" applyFill="1" applyBorder="1"/>
    <xf numFmtId="168" fontId="8" fillId="46" borderId="0" xfId="0" applyNumberFormat="1" applyFont="1" applyFill="1" applyBorder="1"/>
    <xf numFmtId="0" fontId="8" fillId="46" borderId="48" xfId="0" applyFont="1" applyFill="1" applyBorder="1"/>
    <xf numFmtId="0" fontId="171" fillId="48" borderId="17" xfId="0" applyFont="1" applyFill="1" applyBorder="1"/>
    <xf numFmtId="194" fontId="171" fillId="48" borderId="23" xfId="1216" applyNumberFormat="1" applyFont="1" applyFill="1" applyBorder="1" applyAlignment="1">
      <alignment horizontal="right" wrapText="1"/>
    </xf>
    <xf numFmtId="168" fontId="96" fillId="0" borderId="17" xfId="0" applyNumberFormat="1" applyFont="1" applyBorder="1" applyAlignment="1">
      <alignment vertical="top"/>
    </xf>
    <xf numFmtId="0" fontId="96" fillId="0" borderId="0" xfId="0" applyFont="1" applyBorder="1" applyAlignment="1">
      <alignment horizontal="left" vertical="center" wrapText="1"/>
    </xf>
    <xf numFmtId="0" fontId="96" fillId="0" borderId="0" xfId="0" applyFont="1" applyBorder="1" applyAlignment="1">
      <alignment vertical="top"/>
    </xf>
    <xf numFmtId="0" fontId="96" fillId="0" borderId="29" xfId="0" applyFont="1" applyBorder="1" applyAlignment="1">
      <alignment vertical="top"/>
    </xf>
    <xf numFmtId="168" fontId="10" fillId="0" borderId="0" xfId="1181" applyNumberFormat="1" applyFont="1" applyAlignment="1">
      <alignment horizontal="right"/>
    </xf>
    <xf numFmtId="0" fontId="15" fillId="0" borderId="0" xfId="0" applyFont="1" applyAlignment="1">
      <alignment horizontal="left"/>
    </xf>
    <xf numFmtId="0" fontId="16" fillId="0" borderId="0" xfId="0" applyFont="1"/>
    <xf numFmtId="4" fontId="10" fillId="46" borderId="33" xfId="0" applyNumberFormat="1" applyFont="1" applyFill="1" applyBorder="1" applyAlignment="1">
      <alignment horizontal="center"/>
    </xf>
    <xf numFmtId="169" fontId="10" fillId="46" borderId="33" xfId="0" applyNumberFormat="1" applyFont="1" applyFill="1" applyBorder="1" applyAlignment="1">
      <alignment horizontal="center"/>
    </xf>
    <xf numFmtId="201" fontId="10" fillId="46" borderId="17" xfId="0" applyNumberFormat="1" applyFont="1" applyFill="1" applyBorder="1" applyAlignment="1">
      <alignment horizontal="center"/>
    </xf>
    <xf numFmtId="201" fontId="10" fillId="46" borderId="37" xfId="0" applyNumberFormat="1" applyFont="1" applyFill="1" applyBorder="1" applyAlignment="1">
      <alignment horizontal="center"/>
    </xf>
    <xf numFmtId="173" fontId="10" fillId="46" borderId="32" xfId="1216" applyNumberFormat="1" applyFont="1" applyFill="1" applyBorder="1" applyAlignment="1">
      <alignment horizontal="right" wrapText="1"/>
    </xf>
    <xf numFmtId="170" fontId="10" fillId="46" borderId="37" xfId="0" applyNumberFormat="1" applyFont="1" applyFill="1" applyBorder="1" applyAlignment="1">
      <alignment horizontal="right"/>
    </xf>
    <xf numFmtId="169" fontId="10" fillId="48" borderId="30" xfId="0" applyNumberFormat="1" applyFont="1" applyFill="1" applyBorder="1" applyAlignment="1">
      <alignment horizontal="center"/>
    </xf>
    <xf numFmtId="171" fontId="10" fillId="48" borderId="22" xfId="0" applyNumberFormat="1" applyFont="1" applyFill="1" applyBorder="1" applyAlignment="1">
      <alignment horizontal="center"/>
    </xf>
    <xf numFmtId="0" fontId="10" fillId="46" borderId="54" xfId="0" applyFont="1" applyFill="1" applyBorder="1" applyAlignment="1">
      <alignment horizontal="centerContinuous"/>
    </xf>
    <xf numFmtId="169" fontId="176" fillId="48" borderId="17" xfId="0" applyNumberFormat="1" applyFont="1" applyFill="1" applyBorder="1" applyAlignment="1">
      <alignment horizontal="center"/>
    </xf>
    <xf numFmtId="4" fontId="176" fillId="48" borderId="33" xfId="0" applyNumberFormat="1" applyFont="1" applyFill="1" applyBorder="1" applyAlignment="1">
      <alignment horizontal="center"/>
    </xf>
    <xf numFmtId="4" fontId="176" fillId="49" borderId="61" xfId="0" applyNumberFormat="1" applyFont="1" applyFill="1" applyBorder="1" applyAlignment="1">
      <alignment horizontal="center"/>
    </xf>
    <xf numFmtId="170" fontId="164" fillId="48" borderId="0" xfId="0" applyNumberFormat="1" applyFont="1" applyFill="1" applyBorder="1"/>
    <xf numFmtId="0" fontId="211" fillId="48" borderId="0" xfId="0" applyFont="1" applyFill="1" applyAlignment="1">
      <alignment horizontal="center" vertical="top" wrapText="1"/>
    </xf>
    <xf numFmtId="0" fontId="176" fillId="48" borderId="0" xfId="0" applyFont="1" applyFill="1"/>
    <xf numFmtId="170" fontId="176" fillId="48" borderId="0" xfId="0" applyNumberFormat="1" applyFont="1" applyFill="1"/>
    <xf numFmtId="173" fontId="48" fillId="46" borderId="34" xfId="1216" applyNumberFormat="1" applyFont="1" applyFill="1" applyBorder="1" applyAlignment="1">
      <alignment horizontal="right" wrapText="1"/>
    </xf>
    <xf numFmtId="3" fontId="50" fillId="46" borderId="17" xfId="0" applyNumberFormat="1" applyFont="1" applyFill="1" applyBorder="1" applyAlignment="1">
      <alignment horizontal="center"/>
    </xf>
    <xf numFmtId="3" fontId="13" fillId="46" borderId="20" xfId="0" applyNumberFormat="1" applyFont="1" applyFill="1" applyBorder="1" applyAlignment="1">
      <alignment horizontal="center" vertical="center" wrapText="1"/>
    </xf>
    <xf numFmtId="3" fontId="65" fillId="46" borderId="22" xfId="0" applyNumberFormat="1" applyFont="1" applyFill="1" applyBorder="1" applyAlignment="1">
      <alignment horizontal="center" wrapText="1"/>
    </xf>
    <xf numFmtId="3" fontId="48" fillId="46" borderId="50" xfId="0" applyNumberFormat="1" applyFont="1" applyFill="1" applyBorder="1" applyAlignment="1">
      <alignment horizontal="center" wrapText="1"/>
    </xf>
    <xf numFmtId="201" fontId="10" fillId="48" borderId="17" xfId="0" applyNumberFormat="1" applyFont="1" applyFill="1" applyBorder="1" applyAlignment="1">
      <alignment horizontal="center"/>
    </xf>
    <xf numFmtId="169" fontId="10" fillId="48" borderId="33" xfId="0" applyNumberFormat="1" applyFont="1" applyFill="1" applyBorder="1" applyAlignment="1">
      <alignment horizontal="center"/>
    </xf>
    <xf numFmtId="3" fontId="10" fillId="48" borderId="0" xfId="0" applyNumberFormat="1" applyFont="1" applyFill="1"/>
    <xf numFmtId="201" fontId="176" fillId="46" borderId="17" xfId="0" applyNumberFormat="1" applyFont="1" applyFill="1" applyBorder="1" applyAlignment="1">
      <alignment horizontal="center"/>
    </xf>
    <xf numFmtId="169" fontId="176" fillId="46" borderId="33" xfId="0" applyNumberFormat="1" applyFont="1" applyFill="1" applyBorder="1" applyAlignment="1">
      <alignment horizontal="center"/>
    </xf>
    <xf numFmtId="0" fontId="8" fillId="0" borderId="33" xfId="0" applyFont="1" applyBorder="1" applyAlignment="1">
      <alignment horizontal="center" vertical="top" wrapText="1"/>
    </xf>
    <xf numFmtId="0" fontId="212" fillId="0" borderId="0" xfId="1208" applyFont="1" applyAlignment="1">
      <alignment horizontal="centerContinuous"/>
    </xf>
    <xf numFmtId="10" fontId="212" fillId="0" borderId="0" xfId="1208" applyNumberFormat="1" applyFont="1" applyAlignment="1">
      <alignment horizontal="centerContinuous"/>
    </xf>
    <xf numFmtId="0" fontId="261" fillId="0" borderId="0" xfId="1208"/>
    <xf numFmtId="10" fontId="261" fillId="0" borderId="0" xfId="1208" applyNumberFormat="1"/>
    <xf numFmtId="0" fontId="164" fillId="0" borderId="0" xfId="1208" applyFont="1"/>
    <xf numFmtId="0" fontId="8" fillId="0" borderId="0" xfId="1208" applyFont="1"/>
    <xf numFmtId="10" fontId="8" fillId="0" borderId="0" xfId="1208" applyNumberFormat="1" applyFont="1"/>
    <xf numFmtId="3" fontId="164" fillId="0" borderId="0" xfId="1208" applyNumberFormat="1" applyFont="1"/>
    <xf numFmtId="0" fontId="10" fillId="0" borderId="0" xfId="1208" applyFont="1"/>
    <xf numFmtId="0" fontId="10" fillId="46" borderId="0" xfId="1208" applyFont="1" applyFill="1"/>
    <xf numFmtId="0" fontId="8" fillId="0" borderId="23" xfId="1208" applyFont="1" applyBorder="1" applyAlignment="1">
      <alignment horizontal="centerContinuous" wrapText="1"/>
    </xf>
    <xf numFmtId="10" fontId="8" fillId="0" borderId="23" xfId="1208" applyNumberFormat="1" applyFont="1" applyBorder="1" applyAlignment="1">
      <alignment horizontal="centerContinuous" wrapText="1"/>
    </xf>
    <xf numFmtId="0" fontId="8" fillId="0" borderId="17" xfId="1208" applyFont="1" applyBorder="1" applyAlignment="1">
      <alignment horizontal="centerContinuous" wrapText="1"/>
    </xf>
    <xf numFmtId="0" fontId="8" fillId="0" borderId="17" xfId="1208" applyFont="1" applyBorder="1" applyAlignment="1">
      <alignment horizontal="center" wrapText="1"/>
    </xf>
    <xf numFmtId="10" fontId="9" fillId="0" borderId="17" xfId="1208" applyNumberFormat="1" applyFont="1" applyBorder="1" applyAlignment="1">
      <alignment horizontal="center" vertical="top" wrapText="1"/>
    </xf>
    <xf numFmtId="0" fontId="9" fillId="0" borderId="17" xfId="1208" applyFont="1" applyBorder="1" applyAlignment="1">
      <alignment horizontal="center" vertical="top" wrapText="1"/>
    </xf>
    <xf numFmtId="0" fontId="8" fillId="0" borderId="17" xfId="1208" applyFont="1" applyBorder="1" applyAlignment="1">
      <alignment horizontal="center" vertical="top" wrapText="1"/>
    </xf>
    <xf numFmtId="0" fontId="13" fillId="0" borderId="17" xfId="1208" applyFont="1" applyBorder="1" applyAlignment="1">
      <alignment horizontal="center" vertical="top" wrapText="1"/>
    </xf>
    <xf numFmtId="10" fontId="8" fillId="44" borderId="17" xfId="1208" applyNumberFormat="1" applyFont="1" applyFill="1" applyBorder="1" applyAlignment="1">
      <alignment horizontal="center" vertical="top" wrapText="1"/>
    </xf>
    <xf numFmtId="0" fontId="8" fillId="44" borderId="17" xfId="1208" applyFont="1" applyFill="1" applyBorder="1" applyAlignment="1">
      <alignment horizontal="center" vertical="top" wrapText="1"/>
    </xf>
    <xf numFmtId="0" fontId="8" fillId="46" borderId="17" xfId="1208" applyFont="1" applyFill="1" applyBorder="1" applyAlignment="1">
      <alignment horizontal="center" vertical="top" wrapText="1"/>
    </xf>
    <xf numFmtId="10" fontId="8" fillId="44" borderId="17" xfId="1208" applyNumberFormat="1" applyFont="1" applyFill="1" applyBorder="1" applyAlignment="1">
      <alignment horizontal="center" wrapText="1"/>
    </xf>
    <xf numFmtId="0" fontId="8" fillId="46" borderId="17" xfId="1208" applyFont="1" applyFill="1" applyBorder="1" applyAlignment="1">
      <alignment horizontal="center" wrapText="1"/>
    </xf>
    <xf numFmtId="4" fontId="8" fillId="46" borderId="17" xfId="1208" applyNumberFormat="1" applyFont="1" applyFill="1" applyBorder="1" applyAlignment="1">
      <alignment horizontal="center" wrapText="1"/>
    </xf>
    <xf numFmtId="3" fontId="8" fillId="46" borderId="17" xfId="1208" applyNumberFormat="1" applyFont="1" applyFill="1" applyBorder="1" applyAlignment="1">
      <alignment horizontal="center" wrapText="1"/>
    </xf>
    <xf numFmtId="0" fontId="8" fillId="46" borderId="0" xfId="1208" applyFont="1" applyFill="1" applyBorder="1" applyAlignment="1">
      <alignment horizontal="center" wrapText="1"/>
    </xf>
    <xf numFmtId="4" fontId="8" fillId="46" borderId="0" xfId="1208" applyNumberFormat="1" applyFont="1" applyFill="1" applyBorder="1" applyAlignment="1">
      <alignment horizontal="center" wrapText="1"/>
    </xf>
    <xf numFmtId="10" fontId="8" fillId="46" borderId="0" xfId="1208" applyNumberFormat="1" applyFont="1" applyFill="1" applyBorder="1" applyAlignment="1">
      <alignment horizontal="center" wrapText="1"/>
    </xf>
    <xf numFmtId="3" fontId="8" fillId="46" borderId="0" xfId="1208" applyNumberFormat="1" applyFont="1" applyFill="1" applyBorder="1" applyAlignment="1">
      <alignment horizontal="center" wrapText="1"/>
    </xf>
    <xf numFmtId="4" fontId="164" fillId="46" borderId="0" xfId="1208" applyNumberFormat="1" applyFont="1" applyFill="1" applyBorder="1" applyAlignment="1">
      <alignment horizontal="right"/>
    </xf>
    <xf numFmtId="0" fontId="164" fillId="48" borderId="0" xfId="1208" applyFont="1" applyFill="1"/>
    <xf numFmtId="0" fontId="8" fillId="48" borderId="0" xfId="1208" applyFont="1" applyFill="1"/>
    <xf numFmtId="10" fontId="8" fillId="48" borderId="0" xfId="1208" applyNumberFormat="1" applyFont="1" applyFill="1"/>
    <xf numFmtId="3" fontId="164" fillId="48" borderId="0" xfId="1208" applyNumberFormat="1" applyFont="1" applyFill="1"/>
    <xf numFmtId="0" fontId="10" fillId="48" borderId="0" xfId="1208" applyFont="1" applyFill="1"/>
    <xf numFmtId="0" fontId="167" fillId="49" borderId="0" xfId="1208" applyFont="1" applyFill="1"/>
    <xf numFmtId="0" fontId="8" fillId="48" borderId="23" xfId="1208" applyFont="1" applyFill="1" applyBorder="1" applyAlignment="1">
      <alignment horizontal="centerContinuous" wrapText="1"/>
    </xf>
    <xf numFmtId="10" fontId="8" fillId="48" borderId="23" xfId="1208" applyNumberFormat="1" applyFont="1" applyFill="1" applyBorder="1" applyAlignment="1">
      <alignment horizontal="centerContinuous" wrapText="1"/>
    </xf>
    <xf numFmtId="0" fontId="8" fillId="48" borderId="17" xfId="1208" applyFont="1" applyFill="1" applyBorder="1" applyAlignment="1">
      <alignment horizontal="centerContinuous" wrapText="1"/>
    </xf>
    <xf numFmtId="0" fontId="8" fillId="48" borderId="17" xfId="1208" applyFont="1" applyFill="1" applyBorder="1" applyAlignment="1">
      <alignment horizontal="center" wrapText="1"/>
    </xf>
    <xf numFmtId="10" fontId="9" fillId="48" borderId="17" xfId="1208" applyNumberFormat="1" applyFont="1" applyFill="1" applyBorder="1" applyAlignment="1">
      <alignment horizontal="center" vertical="top" wrapText="1"/>
    </xf>
    <xf numFmtId="0" fontId="9" fillId="48" borderId="17" xfId="1208" applyFont="1" applyFill="1" applyBorder="1" applyAlignment="1">
      <alignment horizontal="center" vertical="top" wrapText="1"/>
    </xf>
    <xf numFmtId="0" fontId="8" fillId="48" borderId="17" xfId="1208" applyFont="1" applyFill="1" applyBorder="1" applyAlignment="1">
      <alignment horizontal="center" vertical="top" wrapText="1"/>
    </xf>
    <xf numFmtId="0" fontId="164" fillId="44" borderId="0" xfId="1208" applyFont="1" applyFill="1"/>
    <xf numFmtId="0" fontId="13" fillId="48" borderId="17" xfId="1208" applyFont="1" applyFill="1" applyBorder="1" applyAlignment="1">
      <alignment horizontal="center" vertical="top" wrapText="1"/>
    </xf>
    <xf numFmtId="10" fontId="8" fillId="48" borderId="17" xfId="1208" applyNumberFormat="1" applyFont="1" applyFill="1" applyBorder="1" applyAlignment="1">
      <alignment horizontal="center" vertical="top" wrapText="1"/>
    </xf>
    <xf numFmtId="0" fontId="164" fillId="44" borderId="33" xfId="1208" applyFont="1" applyFill="1" applyBorder="1" applyAlignment="1">
      <alignment horizontal="centerContinuous"/>
    </xf>
    <xf numFmtId="0" fontId="164" fillId="44" borderId="23" xfId="1208" applyFont="1" applyFill="1" applyBorder="1"/>
    <xf numFmtId="0" fontId="164" fillId="44" borderId="33" xfId="1208" applyFont="1" applyFill="1" applyBorder="1" applyAlignment="1">
      <alignment horizontal="center"/>
    </xf>
    <xf numFmtId="0" fontId="164" fillId="44" borderId="17" xfId="1208" applyFont="1" applyFill="1" applyBorder="1" applyAlignment="1">
      <alignment horizontal="center"/>
    </xf>
    <xf numFmtId="0" fontId="164" fillId="44" borderId="25" xfId="1208" applyFont="1" applyFill="1" applyBorder="1"/>
    <xf numFmtId="4" fontId="171" fillId="48" borderId="17" xfId="1208" applyNumberFormat="1" applyFont="1" applyFill="1" applyBorder="1" applyAlignment="1">
      <alignment horizontal="center" wrapText="1"/>
    </xf>
    <xf numFmtId="10" fontId="8" fillId="48" borderId="17" xfId="1208" applyNumberFormat="1" applyFont="1" applyFill="1" applyBorder="1" applyAlignment="1">
      <alignment horizontal="center" wrapText="1"/>
    </xf>
    <xf numFmtId="3" fontId="8" fillId="48" borderId="17" xfId="1208" applyNumberFormat="1" applyFont="1" applyFill="1" applyBorder="1" applyAlignment="1">
      <alignment horizontal="center" wrapText="1"/>
    </xf>
    <xf numFmtId="10" fontId="171" fillId="44" borderId="17" xfId="1208" applyNumberFormat="1" applyFont="1" applyFill="1" applyBorder="1" applyAlignment="1">
      <alignment horizontal="center" wrapText="1"/>
    </xf>
    <xf numFmtId="0" fontId="13" fillId="44" borderId="17" xfId="1208" applyFont="1" applyFill="1" applyBorder="1" applyAlignment="1">
      <alignment horizontal="center" vertical="top" wrapText="1"/>
    </xf>
    <xf numFmtId="0" fontId="213" fillId="0" borderId="0" xfId="0" applyFont="1" applyAlignment="1">
      <alignment horizontal="left"/>
    </xf>
    <xf numFmtId="201" fontId="176" fillId="48" borderId="17" xfId="0" applyNumberFormat="1" applyFont="1" applyFill="1" applyBorder="1" applyAlignment="1">
      <alignment horizontal="center"/>
    </xf>
    <xf numFmtId="169" fontId="176" fillId="48" borderId="33" xfId="0" applyNumberFormat="1" applyFont="1" applyFill="1" applyBorder="1" applyAlignment="1">
      <alignment horizontal="center"/>
    </xf>
    <xf numFmtId="201" fontId="10" fillId="48" borderId="37" xfId="0" applyNumberFormat="1" applyFont="1" applyFill="1" applyBorder="1" applyAlignment="1">
      <alignment horizontal="center"/>
    </xf>
    <xf numFmtId="169" fontId="10" fillId="48" borderId="36" xfId="0" applyNumberFormat="1" applyFont="1" applyFill="1" applyBorder="1" applyAlignment="1">
      <alignment horizontal="center"/>
    </xf>
    <xf numFmtId="0" fontId="8" fillId="0" borderId="33" xfId="0" applyFont="1" applyBorder="1" applyAlignment="1">
      <alignment horizontal="center" wrapText="1"/>
    </xf>
    <xf numFmtId="0" fontId="171" fillId="0" borderId="33" xfId="0" applyFont="1" applyBorder="1" applyAlignment="1">
      <alignment horizontal="center" vertical="top" wrapText="1"/>
    </xf>
    <xf numFmtId="4" fontId="164" fillId="33" borderId="23" xfId="0" applyNumberFormat="1" applyFont="1" applyFill="1" applyBorder="1" applyAlignment="1">
      <alignment horizontal="center" wrapText="1"/>
    </xf>
    <xf numFmtId="4" fontId="164" fillId="33" borderId="20" xfId="0" applyNumberFormat="1" applyFont="1" applyFill="1" applyBorder="1" applyAlignment="1">
      <alignment horizontal="center" wrapText="1"/>
    </xf>
    <xf numFmtId="170" fontId="10" fillId="48" borderId="0" xfId="0" applyNumberFormat="1" applyFont="1" applyFill="1"/>
    <xf numFmtId="170" fontId="214" fillId="49" borderId="0" xfId="0" applyNumberFormat="1" applyFont="1" applyFill="1"/>
    <xf numFmtId="0" fontId="167" fillId="49" borderId="0" xfId="0" applyFont="1" applyFill="1"/>
    <xf numFmtId="171" fontId="10" fillId="48" borderId="30" xfId="0" applyNumberFormat="1" applyFont="1" applyFill="1" applyBorder="1" applyAlignment="1">
      <alignment horizontal="center"/>
    </xf>
    <xf numFmtId="171" fontId="10" fillId="46" borderId="17" xfId="0" applyNumberFormat="1" applyFont="1" applyFill="1" applyBorder="1" applyAlignment="1">
      <alignment horizontal="center"/>
    </xf>
    <xf numFmtId="171" fontId="10" fillId="46" borderId="37" xfId="0" applyNumberFormat="1" applyFont="1" applyFill="1" applyBorder="1" applyAlignment="1">
      <alignment horizontal="center"/>
    </xf>
    <xf numFmtId="171" fontId="176" fillId="48" borderId="17" xfId="0" applyNumberFormat="1" applyFont="1" applyFill="1" applyBorder="1" applyAlignment="1">
      <alignment horizontal="center"/>
    </xf>
    <xf numFmtId="0" fontId="176" fillId="48" borderId="32" xfId="0" applyFont="1" applyFill="1" applyBorder="1" applyAlignment="1">
      <alignment horizontal="center"/>
    </xf>
    <xf numFmtId="0" fontId="176" fillId="48" borderId="17" xfId="0" applyFont="1" applyFill="1" applyBorder="1"/>
    <xf numFmtId="3" fontId="164" fillId="48" borderId="17" xfId="0" applyNumberFormat="1" applyFont="1" applyFill="1" applyBorder="1" applyAlignment="1">
      <alignment horizontal="center" wrapText="1"/>
    </xf>
    <xf numFmtId="170" fontId="176" fillId="48" borderId="33" xfId="0" applyNumberFormat="1" applyFont="1" applyFill="1" applyBorder="1" applyAlignment="1">
      <alignment horizontal="center"/>
    </xf>
    <xf numFmtId="0" fontId="10" fillId="46" borderId="37" xfId="0" applyFont="1" applyFill="1" applyBorder="1" applyAlignment="1">
      <alignment wrapText="1"/>
    </xf>
    <xf numFmtId="170" fontId="215" fillId="49" borderId="32" xfId="0" applyNumberFormat="1" applyFont="1" applyFill="1" applyBorder="1" applyAlignment="1">
      <alignment horizontal="centerContinuous" wrapText="1"/>
    </xf>
    <xf numFmtId="170" fontId="215" fillId="49" borderId="17" xfId="0" applyNumberFormat="1" applyFont="1" applyFill="1" applyBorder="1" applyAlignment="1">
      <alignment horizontal="centerContinuous" wrapText="1"/>
    </xf>
    <xf numFmtId="0" fontId="145" fillId="0" borderId="0" xfId="1208" applyFont="1" applyAlignment="1">
      <alignment horizontal="centerContinuous"/>
    </xf>
    <xf numFmtId="10" fontId="145" fillId="0" borderId="0" xfId="1208" applyNumberFormat="1" applyFont="1" applyAlignment="1">
      <alignment horizontal="centerContinuous"/>
    </xf>
    <xf numFmtId="0" fontId="23" fillId="0" borderId="0" xfId="1208" applyFont="1"/>
    <xf numFmtId="3" fontId="23" fillId="0" borderId="0" xfId="1208" applyNumberFormat="1" applyFont="1"/>
    <xf numFmtId="4" fontId="23" fillId="46" borderId="0" xfId="1208" applyNumberFormat="1" applyFont="1" applyFill="1" applyBorder="1" applyAlignment="1">
      <alignment horizontal="right"/>
    </xf>
    <xf numFmtId="0" fontId="23" fillId="48" borderId="0" xfId="1208" applyFont="1" applyFill="1"/>
    <xf numFmtId="3" fontId="23" fillId="48" borderId="0" xfId="1208" applyNumberFormat="1" applyFont="1" applyFill="1"/>
    <xf numFmtId="0" fontId="87" fillId="49" borderId="0" xfId="1208" applyFont="1" applyFill="1"/>
    <xf numFmtId="0" fontId="23" fillId="44" borderId="0" xfId="1208" applyFont="1" applyFill="1"/>
    <xf numFmtId="0" fontId="23" fillId="44" borderId="33" xfId="1208" applyFont="1" applyFill="1" applyBorder="1" applyAlignment="1">
      <alignment horizontal="centerContinuous"/>
    </xf>
    <xf numFmtId="0" fontId="23" fillId="44" borderId="23" xfId="1208" applyFont="1" applyFill="1" applyBorder="1"/>
    <xf numFmtId="0" fontId="23" fillId="44" borderId="33" xfId="1208" applyFont="1" applyFill="1" applyBorder="1" applyAlignment="1">
      <alignment horizontal="center"/>
    </xf>
    <xf numFmtId="0" fontId="23" fillId="44" borderId="17" xfId="1208" applyFont="1" applyFill="1" applyBorder="1" applyAlignment="1">
      <alignment horizontal="center"/>
    </xf>
    <xf numFmtId="0" fontId="23" fillId="44" borderId="25" xfId="1208" applyFont="1" applyFill="1" applyBorder="1"/>
    <xf numFmtId="4" fontId="7" fillId="48" borderId="17" xfId="1208" applyNumberFormat="1" applyFont="1" applyFill="1" applyBorder="1" applyAlignment="1">
      <alignment horizontal="center" wrapText="1"/>
    </xf>
    <xf numFmtId="10" fontId="7" fillId="44" borderId="17" xfId="1208" applyNumberFormat="1" applyFont="1" applyFill="1" applyBorder="1" applyAlignment="1">
      <alignment horizontal="center" wrapText="1"/>
    </xf>
    <xf numFmtId="0" fontId="13" fillId="46" borderId="17" xfId="1208" applyFont="1" applyFill="1" applyBorder="1" applyAlignment="1">
      <alignment horizontal="center" vertical="top" wrapText="1"/>
    </xf>
    <xf numFmtId="10" fontId="8" fillId="44" borderId="0" xfId="1208" applyNumberFormat="1" applyFont="1" applyFill="1" applyBorder="1" applyAlignment="1">
      <alignment horizontal="center" wrapText="1"/>
    </xf>
    <xf numFmtId="170" fontId="10" fillId="46" borderId="32" xfId="0" applyNumberFormat="1" applyFont="1" applyFill="1" applyBorder="1" applyAlignment="1"/>
    <xf numFmtId="170" fontId="10" fillId="46" borderId="17" xfId="0" applyNumberFormat="1" applyFont="1" applyFill="1" applyBorder="1" applyAlignment="1"/>
    <xf numFmtId="170" fontId="10" fillId="46" borderId="34" xfId="0" applyNumberFormat="1" applyFont="1" applyFill="1" applyBorder="1" applyAlignment="1"/>
    <xf numFmtId="170" fontId="10" fillId="46" borderId="26" xfId="0" applyNumberFormat="1" applyFont="1" applyFill="1" applyBorder="1" applyAlignment="1"/>
    <xf numFmtId="173" fontId="10" fillId="46" borderId="35" xfId="1216" applyNumberFormat="1" applyFont="1" applyFill="1" applyBorder="1" applyAlignment="1">
      <alignment horizontal="right"/>
    </xf>
    <xf numFmtId="173" fontId="10" fillId="46" borderId="74" xfId="1216" applyNumberFormat="1" applyFont="1" applyFill="1" applyBorder="1" applyAlignment="1">
      <alignment horizontal="right"/>
    </xf>
    <xf numFmtId="173" fontId="10" fillId="46" borderId="38" xfId="1216" applyNumberFormat="1" applyFont="1" applyFill="1" applyBorder="1" applyAlignment="1">
      <alignment horizontal="right"/>
    </xf>
    <xf numFmtId="170" fontId="10" fillId="46" borderId="38" xfId="0" applyNumberFormat="1" applyFont="1" applyFill="1" applyBorder="1" applyAlignment="1"/>
    <xf numFmtId="4" fontId="10" fillId="46" borderId="38" xfId="0" applyNumberFormat="1" applyFont="1" applyFill="1" applyBorder="1" applyAlignment="1">
      <alignment horizontal="center"/>
    </xf>
    <xf numFmtId="4" fontId="10" fillId="46" borderId="34" xfId="0" applyNumberFormat="1" applyFont="1" applyFill="1" applyBorder="1" applyAlignment="1">
      <alignment horizontal="center"/>
    </xf>
    <xf numFmtId="4" fontId="10" fillId="46" borderId="32" xfId="0" applyNumberFormat="1" applyFont="1" applyFill="1" applyBorder="1" applyAlignment="1">
      <alignment horizontal="center"/>
    </xf>
    <xf numFmtId="4" fontId="10" fillId="46" borderId="17" xfId="0" applyNumberFormat="1" applyFont="1" applyFill="1" applyBorder="1" applyAlignment="1">
      <alignment horizontal="center"/>
    </xf>
    <xf numFmtId="4" fontId="10" fillId="46" borderId="61" xfId="0" applyNumberFormat="1" applyFont="1" applyFill="1" applyBorder="1" applyAlignment="1">
      <alignment horizontal="center"/>
    </xf>
    <xf numFmtId="4" fontId="176" fillId="46" borderId="61" xfId="0" applyNumberFormat="1" applyFont="1" applyFill="1" applyBorder="1" applyAlignment="1">
      <alignment horizontal="center"/>
    </xf>
    <xf numFmtId="0" fontId="10" fillId="46" borderId="32" xfId="0" applyFont="1" applyFill="1" applyBorder="1" applyAlignment="1">
      <alignment horizontal="center"/>
    </xf>
    <xf numFmtId="0" fontId="48" fillId="0" borderId="21" xfId="0" applyFont="1" applyBorder="1" applyAlignment="1">
      <alignment horizontal="center"/>
    </xf>
    <xf numFmtId="0" fontId="48" fillId="46" borderId="46" xfId="0" applyFont="1" applyFill="1" applyBorder="1" applyAlignment="1">
      <alignment wrapText="1"/>
    </xf>
    <xf numFmtId="3" fontId="48" fillId="46" borderId="46" xfId="0" applyNumberFormat="1" applyFont="1" applyFill="1" applyBorder="1" applyAlignment="1">
      <alignment horizontal="center" wrapText="1"/>
    </xf>
    <xf numFmtId="0" fontId="10" fillId="46" borderId="46" xfId="0" applyFont="1" applyFill="1" applyBorder="1"/>
    <xf numFmtId="0" fontId="10" fillId="46" borderId="90" xfId="0" applyFont="1" applyFill="1" applyBorder="1"/>
    <xf numFmtId="0" fontId="8" fillId="46" borderId="21" xfId="0" applyFont="1" applyFill="1" applyBorder="1" applyAlignment="1">
      <alignment horizontal="center"/>
    </xf>
    <xf numFmtId="0" fontId="8" fillId="46" borderId="46" xfId="0" applyFont="1" applyFill="1" applyBorder="1" applyAlignment="1">
      <alignment horizontal="center"/>
    </xf>
    <xf numFmtId="0" fontId="8" fillId="46" borderId="47" xfId="0" applyFont="1" applyFill="1" applyBorder="1" applyAlignment="1">
      <alignment horizontal="center"/>
    </xf>
    <xf numFmtId="170" fontId="48" fillId="46" borderId="21" xfId="0" applyNumberFormat="1" applyFont="1" applyFill="1" applyBorder="1"/>
    <xf numFmtId="170" fontId="48" fillId="46" borderId="46" xfId="0" applyNumberFormat="1" applyFont="1" applyFill="1" applyBorder="1"/>
    <xf numFmtId="170" fontId="48" fillId="46" borderId="47" xfId="0" applyNumberFormat="1" applyFont="1" applyFill="1" applyBorder="1"/>
    <xf numFmtId="173" fontId="50" fillId="46" borderId="21" xfId="1216" applyNumberFormat="1" applyFont="1" applyFill="1" applyBorder="1" applyAlignment="1">
      <alignment horizontal="right" wrapText="1"/>
    </xf>
    <xf numFmtId="173" fontId="50" fillId="46" borderId="46" xfId="1216" applyNumberFormat="1" applyFont="1" applyFill="1" applyBorder="1" applyAlignment="1">
      <alignment horizontal="right" wrapText="1"/>
    </xf>
    <xf numFmtId="4" fontId="176" fillId="49" borderId="34" xfId="0" applyNumberFormat="1" applyFont="1" applyFill="1" applyBorder="1" applyAlignment="1">
      <alignment horizontal="center"/>
    </xf>
    <xf numFmtId="170" fontId="216" fillId="46" borderId="34" xfId="0" applyNumberFormat="1" applyFont="1" applyFill="1" applyBorder="1"/>
    <xf numFmtId="170" fontId="217" fillId="0" borderId="0" xfId="0" applyNumberFormat="1" applyFont="1"/>
    <xf numFmtId="170" fontId="48" fillId="46" borderId="26" xfId="0" applyNumberFormat="1" applyFont="1" applyFill="1" applyBorder="1"/>
    <xf numFmtId="173" fontId="10" fillId="46" borderId="26" xfId="1216" applyNumberFormat="1" applyFont="1" applyFill="1" applyBorder="1" applyAlignment="1">
      <alignment horizontal="right" wrapText="1"/>
    </xf>
    <xf numFmtId="170" fontId="10" fillId="46" borderId="74" xfId="0" applyNumberFormat="1" applyFont="1" applyFill="1" applyBorder="1"/>
    <xf numFmtId="0" fontId="176" fillId="44" borderId="34" xfId="0" applyFont="1" applyFill="1" applyBorder="1" applyAlignment="1">
      <alignment horizontal="right"/>
    </xf>
    <xf numFmtId="170" fontId="176" fillId="44" borderId="32" xfId="0" applyNumberFormat="1" applyFont="1" applyFill="1" applyBorder="1"/>
    <xf numFmtId="170" fontId="176" fillId="44" borderId="17" xfId="0" applyNumberFormat="1" applyFont="1" applyFill="1" applyBorder="1"/>
    <xf numFmtId="170" fontId="10" fillId="44" borderId="34" xfId="0" applyNumberFormat="1" applyFont="1" applyFill="1" applyBorder="1"/>
    <xf numFmtId="170" fontId="176" fillId="44" borderId="34" xfId="0" applyNumberFormat="1" applyFont="1" applyFill="1" applyBorder="1"/>
    <xf numFmtId="170" fontId="48" fillId="46" borderId="31" xfId="0" applyNumberFormat="1" applyFont="1" applyFill="1" applyBorder="1" applyAlignment="1">
      <alignment horizontal="centerContinuous" wrapText="1"/>
    </xf>
    <xf numFmtId="173" fontId="10" fillId="46" borderId="37" xfId="1216" applyNumberFormat="1" applyFont="1" applyFill="1" applyBorder="1" applyAlignment="1">
      <alignment horizontal="right" wrapText="1"/>
    </xf>
    <xf numFmtId="173" fontId="10" fillId="46" borderId="38" xfId="1216" applyNumberFormat="1" applyFont="1" applyFill="1" applyBorder="1" applyAlignment="1">
      <alignment horizontal="right" wrapText="1"/>
    </xf>
    <xf numFmtId="170" fontId="23" fillId="44" borderId="0" xfId="0" applyNumberFormat="1" applyFont="1" applyFill="1" applyBorder="1"/>
    <xf numFmtId="170" fontId="164" fillId="44" borderId="0" xfId="0" applyNumberFormat="1" applyFont="1" applyFill="1" applyBorder="1"/>
    <xf numFmtId="173" fontId="48" fillId="46" borderId="32" xfId="1216" applyNumberFormat="1" applyFont="1" applyFill="1" applyBorder="1" applyAlignment="1">
      <alignment horizontal="right" wrapText="1"/>
    </xf>
    <xf numFmtId="173" fontId="48" fillId="46" borderId="17" xfId="1216" applyNumberFormat="1" applyFont="1" applyFill="1" applyBorder="1" applyAlignment="1">
      <alignment horizontal="right" wrapText="1"/>
    </xf>
    <xf numFmtId="173" fontId="50" fillId="46" borderId="38" xfId="1216" applyNumberFormat="1" applyFont="1" applyFill="1" applyBorder="1" applyAlignment="1">
      <alignment horizontal="right" wrapText="1"/>
    </xf>
    <xf numFmtId="170" fontId="164" fillId="46" borderId="0" xfId="0" applyNumberFormat="1" applyFont="1" applyFill="1" applyBorder="1"/>
    <xf numFmtId="0" fontId="211" fillId="46" borderId="0" xfId="0" applyFont="1" applyFill="1" applyAlignment="1">
      <alignment horizontal="center" vertical="top" wrapText="1"/>
    </xf>
    <xf numFmtId="170" fontId="176" fillId="46" borderId="0" xfId="0" applyNumberFormat="1" applyFont="1" applyFill="1"/>
    <xf numFmtId="170" fontId="217" fillId="34" borderId="0" xfId="0" applyNumberFormat="1" applyFont="1" applyFill="1"/>
    <xf numFmtId="0" fontId="176" fillId="34" borderId="0" xfId="0" applyFont="1" applyFill="1"/>
    <xf numFmtId="170" fontId="164" fillId="34" borderId="0" xfId="0" applyNumberFormat="1" applyFont="1" applyFill="1" applyBorder="1"/>
    <xf numFmtId="0" fontId="177" fillId="34" borderId="0" xfId="0" applyFont="1" applyFill="1"/>
    <xf numFmtId="0" fontId="172" fillId="0" borderId="0" xfId="0" applyFont="1"/>
    <xf numFmtId="0" fontId="167" fillId="49" borderId="0" xfId="0" applyFont="1" applyFill="1" applyAlignment="1">
      <alignment horizontal="center" vertical="top" wrapText="1"/>
    </xf>
    <xf numFmtId="170" fontId="167" fillId="49" borderId="0" xfId="0" applyNumberFormat="1" applyFont="1" applyFill="1"/>
    <xf numFmtId="170" fontId="23" fillId="44" borderId="0" xfId="0" applyNumberFormat="1" applyFont="1" applyFill="1" applyBorder="1" applyAlignment="1">
      <alignment horizontal="center" wrapText="1"/>
    </xf>
    <xf numFmtId="172" fontId="23" fillId="44" borderId="0" xfId="0" applyNumberFormat="1" applyFont="1" applyFill="1" applyBorder="1"/>
    <xf numFmtId="0" fontId="218" fillId="33" borderId="0" xfId="0" applyFont="1" applyFill="1"/>
    <xf numFmtId="0" fontId="218" fillId="46" borderId="0" xfId="0" applyFont="1" applyFill="1"/>
    <xf numFmtId="0" fontId="164" fillId="33" borderId="17" xfId="0" applyFont="1" applyFill="1" applyBorder="1" applyAlignment="1">
      <alignment horizontal="right"/>
    </xf>
    <xf numFmtId="0" fontId="219" fillId="33" borderId="17" xfId="0" applyFont="1" applyFill="1" applyBorder="1"/>
    <xf numFmtId="0" fontId="164" fillId="33" borderId="17" xfId="0" applyFont="1" applyFill="1" applyBorder="1"/>
    <xf numFmtId="0" fontId="219" fillId="33" borderId="17" xfId="0" applyFont="1" applyFill="1" applyBorder="1" applyAlignment="1">
      <alignment horizontal="right"/>
    </xf>
    <xf numFmtId="0" fontId="165" fillId="33" borderId="17" xfId="0" applyFont="1" applyFill="1" applyBorder="1"/>
    <xf numFmtId="170" fontId="165" fillId="33" borderId="17" xfId="0" applyNumberFormat="1" applyFont="1" applyFill="1" applyBorder="1"/>
    <xf numFmtId="173" fontId="165" fillId="33" borderId="17" xfId="1216" applyNumberFormat="1" applyFont="1" applyFill="1" applyBorder="1" applyAlignment="1">
      <alignment horizontal="right" wrapText="1"/>
    </xf>
    <xf numFmtId="0" fontId="218" fillId="46" borderId="0" xfId="0" applyFont="1" applyFill="1" applyBorder="1"/>
    <xf numFmtId="170" fontId="165" fillId="46" borderId="48" xfId="0" applyNumberFormat="1" applyFont="1" applyFill="1" applyBorder="1"/>
    <xf numFmtId="170" fontId="165" fillId="46" borderId="0" xfId="0" applyNumberFormat="1" applyFont="1" applyFill="1" applyBorder="1"/>
    <xf numFmtId="0" fontId="218" fillId="33" borderId="33" xfId="0" applyFont="1" applyFill="1" applyBorder="1"/>
    <xf numFmtId="0" fontId="10" fillId="33" borderId="26" xfId="0" applyFont="1" applyFill="1" applyBorder="1"/>
    <xf numFmtId="0" fontId="218" fillId="33" borderId="33" xfId="0" applyFont="1" applyFill="1" applyBorder="1" applyAlignment="1">
      <alignment horizontal="right"/>
    </xf>
    <xf numFmtId="170" fontId="210" fillId="49" borderId="17" xfId="0" applyNumberFormat="1" applyFont="1" applyFill="1" applyBorder="1"/>
    <xf numFmtId="0" fontId="8" fillId="0" borderId="23" xfId="1208" applyFont="1" applyBorder="1" applyAlignment="1">
      <alignment horizontal="center" wrapText="1"/>
    </xf>
    <xf numFmtId="4" fontId="176" fillId="48" borderId="0" xfId="0" applyNumberFormat="1" applyFont="1" applyFill="1"/>
    <xf numFmtId="10" fontId="10" fillId="0" borderId="0" xfId="0" applyNumberFormat="1" applyFont="1"/>
    <xf numFmtId="4" fontId="10" fillId="48" borderId="33" xfId="0" applyNumberFormat="1" applyFont="1" applyFill="1" applyBorder="1" applyAlignment="1">
      <alignment horizontal="center"/>
    </xf>
    <xf numFmtId="4" fontId="10" fillId="48" borderId="30" xfId="0" applyNumberFormat="1" applyFont="1" applyFill="1" applyBorder="1" applyAlignment="1">
      <alignment horizontal="center"/>
    </xf>
    <xf numFmtId="4" fontId="176" fillId="46" borderId="38" xfId="0" applyNumberFormat="1" applyFont="1" applyFill="1" applyBorder="1" applyAlignment="1">
      <alignment horizontal="center"/>
    </xf>
    <xf numFmtId="4" fontId="10" fillId="48" borderId="17" xfId="0" applyNumberFormat="1" applyFont="1" applyFill="1" applyBorder="1" applyAlignment="1">
      <alignment horizontal="center"/>
    </xf>
    <xf numFmtId="4" fontId="10" fillId="46" borderId="46" xfId="0" applyNumberFormat="1" applyFont="1" applyFill="1" applyBorder="1"/>
    <xf numFmtId="4" fontId="176" fillId="48" borderId="17" xfId="0" applyNumberFormat="1" applyFont="1" applyFill="1" applyBorder="1" applyAlignment="1">
      <alignment horizontal="center"/>
    </xf>
    <xf numFmtId="4" fontId="10" fillId="46" borderId="37" xfId="0" applyNumberFormat="1" applyFont="1" applyFill="1" applyBorder="1" applyAlignment="1">
      <alignment horizontal="center"/>
    </xf>
    <xf numFmtId="4" fontId="176" fillId="46" borderId="17" xfId="0" applyNumberFormat="1" applyFont="1" applyFill="1" applyBorder="1" applyAlignment="1">
      <alignment horizontal="center"/>
    </xf>
    <xf numFmtId="4" fontId="10" fillId="46" borderId="22" xfId="0" applyNumberFormat="1" applyFont="1" applyFill="1" applyBorder="1" applyAlignment="1">
      <alignment horizontal="centerContinuous" vertical="center"/>
    </xf>
    <xf numFmtId="4" fontId="50" fillId="46" borderId="17" xfId="0" applyNumberFormat="1" applyFont="1" applyFill="1" applyBorder="1" applyAlignment="1">
      <alignment horizontal="center" vertical="top" wrapText="1"/>
    </xf>
    <xf numFmtId="4" fontId="176" fillId="48" borderId="30" xfId="0" applyNumberFormat="1" applyFont="1" applyFill="1" applyBorder="1" applyAlignment="1">
      <alignment horizontal="center"/>
    </xf>
    <xf numFmtId="171" fontId="10" fillId="46" borderId="33" xfId="0" applyNumberFormat="1" applyFont="1" applyFill="1" applyBorder="1" applyAlignment="1">
      <alignment horizontal="center"/>
    </xf>
    <xf numFmtId="4" fontId="176" fillId="48" borderId="17" xfId="0" applyNumberFormat="1" applyFont="1" applyFill="1" applyBorder="1"/>
    <xf numFmtId="4" fontId="176" fillId="44" borderId="17" xfId="0" applyNumberFormat="1" applyFont="1" applyFill="1" applyBorder="1"/>
    <xf numFmtId="0" fontId="195" fillId="48" borderId="0" xfId="0" applyFont="1" applyFill="1"/>
    <xf numFmtId="0" fontId="220" fillId="48" borderId="0" xfId="1181" applyFont="1" applyFill="1"/>
    <xf numFmtId="168" fontId="221" fillId="48" borderId="0" xfId="1181" applyNumberFormat="1" applyFont="1" applyFill="1" applyAlignment="1">
      <alignment horizontal="right"/>
    </xf>
    <xf numFmtId="170" fontId="195" fillId="48" borderId="17" xfId="0" applyNumberFormat="1" applyFont="1" applyFill="1" applyBorder="1" applyAlignment="1">
      <alignment vertical="center" wrapText="1"/>
    </xf>
    <xf numFmtId="0" fontId="195" fillId="48" borderId="20" xfId="0" applyFont="1" applyFill="1" applyBorder="1"/>
    <xf numFmtId="164" fontId="195" fillId="48" borderId="20" xfId="0" applyNumberFormat="1" applyFont="1" applyFill="1" applyBorder="1"/>
    <xf numFmtId="0" fontId="220" fillId="48" borderId="17" xfId="0" applyFont="1" applyFill="1" applyBorder="1" applyAlignment="1">
      <alignment horizontal="center" vertical="center" wrapText="1"/>
    </xf>
    <xf numFmtId="0" fontId="222" fillId="48" borderId="17" xfId="0" applyFont="1" applyFill="1" applyBorder="1" applyAlignment="1">
      <alignment horizontal="center"/>
    </xf>
    <xf numFmtId="170" fontId="195" fillId="48" borderId="17" xfId="0" applyNumberFormat="1" applyFont="1" applyFill="1" applyBorder="1"/>
    <xf numFmtId="164" fontId="191" fillId="48" borderId="20" xfId="0" applyNumberFormat="1" applyFont="1" applyFill="1" applyBorder="1"/>
    <xf numFmtId="170" fontId="191" fillId="48" borderId="17" xfId="0" applyNumberFormat="1" applyFont="1" applyFill="1" applyBorder="1" applyAlignment="1">
      <alignment vertical="center" wrapText="1"/>
    </xf>
    <xf numFmtId="170" fontId="191" fillId="48" borderId="17" xfId="0" applyNumberFormat="1" applyFont="1" applyFill="1" applyBorder="1"/>
    <xf numFmtId="0" fontId="147" fillId="0" borderId="0" xfId="0" applyFont="1" applyAlignment="1">
      <alignment horizontal="centerContinuous"/>
    </xf>
    <xf numFmtId="0" fontId="148" fillId="46" borderId="0" xfId="0" applyFont="1" applyFill="1"/>
    <xf numFmtId="0" fontId="36" fillId="2" borderId="91" xfId="1195" applyFont="1" applyFill="1" applyBorder="1" applyAlignment="1" applyProtection="1">
      <alignment vertical="center"/>
    </xf>
    <xf numFmtId="0" fontId="148" fillId="46" borderId="0" xfId="1195" applyFont="1" applyFill="1" applyBorder="1" applyAlignment="1" applyProtection="1">
      <alignment horizontal="center" vertical="center"/>
    </xf>
    <xf numFmtId="0" fontId="223" fillId="48" borderId="0" xfId="1195" applyFont="1" applyFill="1" applyBorder="1" applyAlignment="1" applyProtection="1">
      <alignment horizontal="center" vertical="center"/>
    </xf>
    <xf numFmtId="0" fontId="224" fillId="46" borderId="0" xfId="0" applyFont="1" applyFill="1"/>
    <xf numFmtId="49" fontId="149" fillId="0" borderId="92" xfId="1025" applyNumberFormat="1" applyFont="1" applyBorder="1" applyAlignment="1" applyProtection="1">
      <alignment horizontal="center" vertical="center" wrapText="1"/>
    </xf>
    <xf numFmtId="0" fontId="148" fillId="0" borderId="92" xfId="1195" applyFont="1" applyBorder="1" applyAlignment="1" applyProtection="1">
      <alignment horizontal="center" vertical="center" wrapText="1"/>
    </xf>
    <xf numFmtId="0" fontId="148" fillId="44" borderId="92" xfId="0" applyFont="1" applyFill="1" applyBorder="1" applyAlignment="1" applyProtection="1">
      <alignment horizontal="center" vertical="top" wrapText="1"/>
    </xf>
    <xf numFmtId="0" fontId="150" fillId="44" borderId="92" xfId="0" applyFont="1" applyFill="1" applyBorder="1" applyAlignment="1" applyProtection="1">
      <alignment horizontal="center" vertical="top" wrapText="1"/>
    </xf>
    <xf numFmtId="0" fontId="148" fillId="28" borderId="92" xfId="0" applyFont="1" applyFill="1" applyBorder="1" applyAlignment="1" applyProtection="1">
      <alignment horizontal="center" vertical="top" wrapText="1"/>
    </xf>
    <xf numFmtId="0" fontId="179" fillId="46" borderId="93" xfId="0" applyFont="1" applyFill="1" applyBorder="1" applyAlignment="1">
      <alignment horizontal="center"/>
    </xf>
    <xf numFmtId="0" fontId="179" fillId="46" borderId="12" xfId="0" applyFont="1" applyFill="1" applyBorder="1" applyAlignment="1">
      <alignment horizontal="center"/>
    </xf>
    <xf numFmtId="0" fontId="225" fillId="46" borderId="12" xfId="0" applyFont="1" applyFill="1" applyBorder="1" applyAlignment="1">
      <alignment horizontal="center"/>
    </xf>
    <xf numFmtId="0" fontId="179" fillId="46" borderId="0" xfId="0" applyFont="1" applyFill="1" applyAlignment="1">
      <alignment horizontal="center"/>
    </xf>
    <xf numFmtId="49" fontId="148" fillId="46" borderId="94" xfId="1195" applyNumberFormat="1" applyFont="1" applyFill="1" applyBorder="1" applyAlignment="1" applyProtection="1">
      <alignment horizontal="center" vertical="center"/>
    </xf>
    <xf numFmtId="49" fontId="149" fillId="0" borderId="11" xfId="933" applyNumberFormat="1" applyFont="1" applyBorder="1" applyAlignment="1" applyProtection="1">
      <alignment horizontal="left" vertical="center" wrapText="1"/>
    </xf>
    <xf numFmtId="0" fontId="149" fillId="0" borderId="11" xfId="1195" applyFont="1" applyFill="1" applyBorder="1" applyAlignment="1" applyProtection="1">
      <alignment horizontal="center" vertical="center"/>
    </xf>
    <xf numFmtId="10" fontId="98" fillId="46" borderId="11" xfId="0" applyNumberFormat="1" applyFont="1" applyFill="1" applyBorder="1"/>
    <xf numFmtId="10" fontId="149" fillId="28" borderId="11" xfId="1318" applyNumberFormat="1" applyFont="1" applyFill="1" applyBorder="1" applyAlignment="1" applyProtection="1">
      <alignment horizontal="right" vertical="center"/>
      <protection locked="0"/>
    </xf>
    <xf numFmtId="10" fontId="98" fillId="28" borderId="11" xfId="0" applyNumberFormat="1" applyFont="1" applyFill="1" applyBorder="1"/>
    <xf numFmtId="10" fontId="225" fillId="46" borderId="11" xfId="0" applyNumberFormat="1" applyFont="1" applyFill="1" applyBorder="1"/>
    <xf numFmtId="10" fontId="226" fillId="49" borderId="11" xfId="0" applyNumberFormat="1" applyFont="1" applyFill="1" applyBorder="1"/>
    <xf numFmtId="10" fontId="149" fillId="46" borderId="11" xfId="1318" applyNumberFormat="1" applyFont="1" applyFill="1" applyBorder="1" applyAlignment="1" applyProtection="1">
      <alignment horizontal="right" vertical="center"/>
      <protection locked="0"/>
    </xf>
    <xf numFmtId="10" fontId="149" fillId="44" borderId="11" xfId="1318" applyNumberFormat="1" applyFont="1" applyFill="1" applyBorder="1" applyAlignment="1" applyProtection="1">
      <alignment horizontal="right" vertical="center"/>
      <protection locked="0"/>
    </xf>
    <xf numFmtId="10" fontId="98" fillId="44" borderId="11" xfId="0" applyNumberFormat="1" applyFont="1" applyFill="1" applyBorder="1"/>
    <xf numFmtId="3" fontId="149" fillId="46" borderId="11" xfId="1318" applyNumberFormat="1" applyFont="1" applyFill="1" applyBorder="1" applyAlignment="1" applyProtection="1">
      <alignment horizontal="right" vertical="center"/>
      <protection locked="0"/>
    </xf>
    <xf numFmtId="3" fontId="149" fillId="28" borderId="11" xfId="1318" applyNumberFormat="1" applyFont="1" applyFill="1" applyBorder="1" applyAlignment="1" applyProtection="1">
      <alignment horizontal="right" vertical="center"/>
      <protection locked="0"/>
    </xf>
    <xf numFmtId="0" fontId="149" fillId="0" borderId="11" xfId="1195" applyFont="1" applyBorder="1" applyAlignment="1" applyProtection="1">
      <alignment horizontal="left" vertical="center"/>
    </xf>
    <xf numFmtId="0" fontId="149" fillId="0" borderId="11" xfId="1195" applyFont="1" applyBorder="1" applyAlignment="1" applyProtection="1">
      <alignment horizontal="center" vertical="center" wrapText="1"/>
    </xf>
    <xf numFmtId="4" fontId="149" fillId="46" borderId="11" xfId="1318" applyNumberFormat="1" applyFont="1" applyFill="1" applyBorder="1" applyAlignment="1" applyProtection="1">
      <alignment horizontal="right" vertical="center"/>
      <protection locked="0"/>
    </xf>
    <xf numFmtId="4" fontId="149" fillId="44" borderId="11" xfId="1318" applyNumberFormat="1" applyFont="1" applyFill="1" applyBorder="1" applyAlignment="1" applyProtection="1">
      <alignment horizontal="right" vertical="center"/>
      <protection locked="0"/>
    </xf>
    <xf numFmtId="49" fontId="148" fillId="46" borderId="12" xfId="1195" applyNumberFormat="1" applyFont="1" applyFill="1" applyBorder="1" applyAlignment="1" applyProtection="1">
      <alignment horizontal="center" vertical="center"/>
    </xf>
    <xf numFmtId="168" fontId="98" fillId="46" borderId="11" xfId="0" applyNumberFormat="1" applyFont="1" applyFill="1" applyBorder="1"/>
    <xf numFmtId="49" fontId="148" fillId="29" borderId="12" xfId="1195" applyNumberFormat="1" applyFont="1" applyFill="1" applyBorder="1" applyAlignment="1" applyProtection="1">
      <alignment horizontal="center" vertical="center"/>
    </xf>
    <xf numFmtId="0" fontId="149" fillId="29" borderId="11" xfId="1195" applyFont="1" applyFill="1" applyBorder="1" applyAlignment="1" applyProtection="1">
      <alignment horizontal="left" vertical="center" wrapText="1"/>
    </xf>
    <xf numFmtId="0" fontId="149" fillId="29" borderId="11" xfId="1195" applyFont="1" applyFill="1" applyBorder="1" applyAlignment="1" applyProtection="1">
      <alignment horizontal="center" vertical="center" wrapText="1"/>
    </xf>
    <xf numFmtId="4" fontId="149" fillId="29" borderId="11" xfId="1318" applyNumberFormat="1" applyFont="1" applyFill="1" applyBorder="1" applyAlignment="1" applyProtection="1">
      <alignment horizontal="right" vertical="center"/>
      <protection locked="0"/>
    </xf>
    <xf numFmtId="168" fontId="98" fillId="29" borderId="11" xfId="0" applyNumberFormat="1" applyFont="1" applyFill="1" applyBorder="1"/>
    <xf numFmtId="173" fontId="148" fillId="29" borderId="17" xfId="1216" applyNumberFormat="1" applyFont="1" applyFill="1" applyBorder="1" applyAlignment="1">
      <alignment horizontal="right"/>
    </xf>
    <xf numFmtId="168" fontId="225" fillId="48" borderId="11" xfId="0" applyNumberFormat="1" applyFont="1" applyFill="1" applyBorder="1"/>
    <xf numFmtId="0" fontId="131" fillId="46" borderId="0" xfId="0" applyFont="1" applyFill="1" applyBorder="1" applyAlignment="1">
      <alignment horizontal="right" vertical="center" wrapText="1"/>
    </xf>
    <xf numFmtId="0" fontId="131" fillId="2" borderId="91" xfId="1195" applyFont="1" applyFill="1" applyBorder="1" applyAlignment="1" applyProtection="1">
      <alignment vertical="center"/>
    </xf>
    <xf numFmtId="0" fontId="131" fillId="46" borderId="0" xfId="0" applyFont="1" applyFill="1" applyBorder="1" applyAlignment="1">
      <alignment horizontal="center" wrapText="1"/>
    </xf>
    <xf numFmtId="0" fontId="131" fillId="46" borderId="0" xfId="0" applyFont="1" applyFill="1" applyBorder="1" applyAlignment="1">
      <alignment horizontal="center" vertical="top" wrapText="1"/>
    </xf>
    <xf numFmtId="0" fontId="148" fillId="0" borderId="92" xfId="0" applyFont="1" applyFill="1" applyBorder="1" applyAlignment="1" applyProtection="1">
      <alignment horizontal="center" vertical="top" wrapText="1"/>
    </xf>
    <xf numFmtId="0" fontId="223" fillId="46" borderId="0" xfId="0" applyFont="1" applyFill="1"/>
    <xf numFmtId="0" fontId="131" fillId="46" borderId="17" xfId="0" applyFont="1" applyFill="1" applyBorder="1" applyAlignment="1">
      <alignment horizontal="center" vertical="center" wrapText="1"/>
    </xf>
    <xf numFmtId="0" fontId="131" fillId="46" borderId="17" xfId="1178" applyFont="1" applyFill="1" applyBorder="1" applyAlignment="1" applyProtection="1">
      <alignment vertical="center" wrapText="1"/>
    </xf>
    <xf numFmtId="0" fontId="131" fillId="46" borderId="17" xfId="1178" applyFont="1" applyFill="1" applyBorder="1" applyAlignment="1" applyProtection="1">
      <alignment horizontal="center" vertical="center" wrapText="1"/>
    </xf>
    <xf numFmtId="170" fontId="131" fillId="46" borderId="17" xfId="0" applyNumberFormat="1" applyFont="1" applyFill="1" applyBorder="1" applyAlignment="1">
      <alignment vertical="center" wrapText="1"/>
    </xf>
    <xf numFmtId="170" fontId="131" fillId="44" borderId="17" xfId="0" applyNumberFormat="1" applyFont="1" applyFill="1" applyBorder="1" applyAlignment="1">
      <alignment vertical="center" wrapText="1"/>
    </xf>
    <xf numFmtId="0" fontId="148" fillId="46" borderId="17" xfId="0" applyFont="1" applyFill="1" applyBorder="1" applyAlignment="1">
      <alignment horizontal="center" vertical="distributed" wrapText="1"/>
    </xf>
    <xf numFmtId="0" fontId="148" fillId="46" borderId="17" xfId="1178" applyFont="1" applyFill="1" applyBorder="1" applyAlignment="1" applyProtection="1">
      <alignment horizontal="left" vertical="center" wrapText="1" indent="1"/>
    </xf>
    <xf numFmtId="0" fontId="148" fillId="46" borderId="17" xfId="1178" applyFont="1" applyFill="1" applyBorder="1" applyAlignment="1" applyProtection="1">
      <alignment horizontal="center" vertical="center" wrapText="1"/>
    </xf>
    <xf numFmtId="170" fontId="148" fillId="46" borderId="17" xfId="0" applyNumberFormat="1" applyFont="1" applyFill="1" applyBorder="1" applyAlignment="1">
      <alignment vertical="center" wrapText="1"/>
    </xf>
    <xf numFmtId="170" fontId="148" fillId="44" borderId="17" xfId="0" applyNumberFormat="1" applyFont="1" applyFill="1" applyBorder="1" applyAlignment="1">
      <alignment vertical="center" wrapText="1"/>
    </xf>
    <xf numFmtId="170" fontId="223" fillId="44" borderId="17" xfId="0" applyNumberFormat="1" applyFont="1" applyFill="1" applyBorder="1" applyAlignment="1">
      <alignment vertical="center" wrapText="1"/>
    </xf>
    <xf numFmtId="170" fontId="224" fillId="44" borderId="17" xfId="0" applyNumberFormat="1" applyFont="1" applyFill="1" applyBorder="1" applyAlignment="1">
      <alignment vertical="center" wrapText="1"/>
    </xf>
    <xf numFmtId="0" fontId="152" fillId="46" borderId="17" xfId="0" applyFont="1" applyFill="1" applyBorder="1" applyAlignment="1">
      <alignment horizontal="center" vertical="center" wrapText="1"/>
    </xf>
    <xf numFmtId="0" fontId="152" fillId="46" borderId="17" xfId="1178" applyFont="1" applyFill="1" applyBorder="1" applyAlignment="1" applyProtection="1">
      <alignment horizontal="left" vertical="center" wrapText="1" indent="3"/>
    </xf>
    <xf numFmtId="170" fontId="148" fillId="46" borderId="17" xfId="0" applyNumberFormat="1" applyFont="1" applyFill="1" applyBorder="1" applyAlignment="1">
      <alignment wrapText="1"/>
    </xf>
    <xf numFmtId="170" fontId="148" fillId="44" borderId="17" xfId="0" applyNumberFormat="1" applyFont="1" applyFill="1" applyBorder="1" applyAlignment="1">
      <alignment wrapText="1"/>
    </xf>
    <xf numFmtId="3" fontId="152" fillId="46" borderId="17" xfId="1178" applyNumberFormat="1" applyFont="1" applyFill="1" applyBorder="1" applyAlignment="1" applyProtection="1">
      <alignment horizontal="left" vertical="center" wrapText="1" indent="3"/>
    </xf>
    <xf numFmtId="173" fontId="148" fillId="46" borderId="17" xfId="1216" applyNumberFormat="1" applyFont="1" applyFill="1" applyBorder="1" applyAlignment="1">
      <alignment horizontal="right"/>
    </xf>
    <xf numFmtId="173" fontId="148" fillId="44" borderId="17" xfId="1216" applyNumberFormat="1" applyFont="1" applyFill="1" applyBorder="1" applyAlignment="1">
      <alignment horizontal="right"/>
    </xf>
    <xf numFmtId="0" fontId="131" fillId="46" borderId="17" xfId="1178" applyFont="1" applyFill="1" applyBorder="1" applyAlignment="1" applyProtection="1">
      <alignment horizontal="left" vertical="center" wrapText="1" indent="1"/>
    </xf>
    <xf numFmtId="173" fontId="131" fillId="46" borderId="17" xfId="1216" applyNumberFormat="1" applyFont="1" applyFill="1" applyBorder="1" applyAlignment="1">
      <alignment horizontal="right"/>
    </xf>
    <xf numFmtId="170" fontId="131" fillId="46" borderId="17" xfId="0" applyNumberFormat="1" applyFont="1" applyFill="1" applyBorder="1"/>
    <xf numFmtId="170" fontId="131" fillId="44" borderId="17" xfId="0" applyNumberFormat="1" applyFont="1" applyFill="1" applyBorder="1"/>
    <xf numFmtId="170" fontId="148" fillId="44" borderId="17" xfId="0" applyNumberFormat="1" applyFont="1" applyFill="1" applyBorder="1"/>
    <xf numFmtId="0" fontId="131" fillId="46" borderId="17" xfId="0" applyFont="1" applyFill="1" applyBorder="1" applyAlignment="1">
      <alignment vertical="center" wrapText="1"/>
    </xf>
    <xf numFmtId="173" fontId="131" fillId="46" borderId="17" xfId="1216" applyNumberFormat="1" applyFont="1" applyFill="1" applyBorder="1" applyAlignment="1">
      <alignment horizontal="right" vertical="center"/>
    </xf>
    <xf numFmtId="0" fontId="131" fillId="2" borderId="95" xfId="1195" applyFont="1" applyFill="1" applyBorder="1" applyAlignment="1" applyProtection="1">
      <alignment vertical="center"/>
    </xf>
    <xf numFmtId="0" fontId="131" fillId="2" borderId="96" xfId="1195" applyFont="1" applyFill="1" applyBorder="1" applyAlignment="1" applyProtection="1">
      <alignment vertical="center"/>
    </xf>
    <xf numFmtId="0" fontId="131" fillId="46" borderId="17" xfId="1025" applyFont="1" applyFill="1" applyBorder="1" applyAlignment="1" applyProtection="1">
      <alignment horizontal="left" vertical="center" wrapText="1"/>
    </xf>
    <xf numFmtId="173" fontId="131" fillId="44" borderId="17" xfId="1216" applyNumberFormat="1" applyFont="1" applyFill="1" applyBorder="1" applyAlignment="1">
      <alignment horizontal="right"/>
    </xf>
    <xf numFmtId="170" fontId="223" fillId="46" borderId="17" xfId="0" applyNumberFormat="1" applyFont="1" applyFill="1" applyBorder="1" applyAlignment="1">
      <alignment horizontal="right" wrapText="1"/>
    </xf>
    <xf numFmtId="170" fontId="223" fillId="28" borderId="17" xfId="0" applyNumberFormat="1" applyFont="1" applyFill="1" applyBorder="1" applyAlignment="1">
      <alignment wrapText="1"/>
    </xf>
    <xf numFmtId="164" fontId="148" fillId="46" borderId="0" xfId="0" applyNumberFormat="1" applyFont="1" applyFill="1"/>
    <xf numFmtId="0" fontId="131" fillId="46" borderId="17" xfId="1178" applyFont="1" applyFill="1" applyBorder="1" applyAlignment="1" applyProtection="1">
      <alignment vertical="top" wrapText="1"/>
    </xf>
    <xf numFmtId="170" fontId="148" fillId="46" borderId="17" xfId="0" applyNumberFormat="1" applyFont="1" applyFill="1" applyBorder="1"/>
    <xf numFmtId="173" fontId="223" fillId="28" borderId="17" xfId="1216" applyNumberFormat="1" applyFont="1" applyFill="1" applyBorder="1" applyAlignment="1">
      <alignment horizontal="right"/>
    </xf>
    <xf numFmtId="170" fontId="223" fillId="46" borderId="17" xfId="0" applyNumberFormat="1" applyFont="1" applyFill="1" applyBorder="1"/>
    <xf numFmtId="170" fontId="227" fillId="49" borderId="17" xfId="0" applyNumberFormat="1" applyFont="1" applyFill="1" applyBorder="1"/>
    <xf numFmtId="0" fontId="131" fillId="2" borderId="97" xfId="1195" applyFont="1" applyFill="1" applyBorder="1" applyAlignment="1" applyProtection="1">
      <alignment horizontal="left" vertical="center"/>
    </xf>
    <xf numFmtId="0" fontId="131" fillId="2" borderId="98" xfId="1195" applyFont="1" applyFill="1" applyBorder="1" applyAlignment="1" applyProtection="1">
      <alignment horizontal="left" vertical="center"/>
    </xf>
    <xf numFmtId="0" fontId="131" fillId="2" borderId="99" xfId="1195" applyFont="1" applyFill="1" applyBorder="1" applyAlignment="1" applyProtection="1">
      <alignment horizontal="left" vertical="center"/>
    </xf>
    <xf numFmtId="0" fontId="131" fillId="2" borderId="100" xfId="1195" applyFont="1" applyFill="1" applyBorder="1" applyAlignment="1" applyProtection="1">
      <alignment horizontal="left" vertical="center"/>
    </xf>
    <xf numFmtId="168" fontId="225" fillId="48" borderId="11" xfId="0" applyNumberFormat="1" applyFont="1" applyFill="1" applyBorder="1" applyAlignment="1">
      <alignment vertical="center" wrapText="1"/>
    </xf>
    <xf numFmtId="164" fontId="225" fillId="48" borderId="11" xfId="0" applyNumberFormat="1" applyFont="1" applyFill="1" applyBorder="1"/>
    <xf numFmtId="0" fontId="131" fillId="2" borderId="101" xfId="1195" applyFont="1" applyFill="1" applyBorder="1" applyAlignment="1" applyProtection="1">
      <alignment horizontal="left" vertical="center"/>
    </xf>
    <xf numFmtId="0" fontId="148" fillId="46" borderId="0" xfId="0" applyFont="1" applyFill="1" applyBorder="1" applyAlignment="1">
      <alignment vertical="center" wrapText="1"/>
    </xf>
    <xf numFmtId="0" fontId="131" fillId="46" borderId="0" xfId="0" applyFont="1" applyFill="1" applyBorder="1" applyAlignment="1">
      <alignment horizontal="left" vertical="center" wrapText="1"/>
    </xf>
    <xf numFmtId="0" fontId="131" fillId="46" borderId="0" xfId="0" applyFont="1" applyFill="1" applyBorder="1" applyAlignment="1">
      <alignment horizontal="center" vertical="center" wrapText="1"/>
    </xf>
    <xf numFmtId="0" fontId="48" fillId="0" borderId="0" xfId="1208" applyFont="1"/>
    <xf numFmtId="4" fontId="7" fillId="44" borderId="17" xfId="1208" applyNumberFormat="1" applyFont="1" applyFill="1" applyBorder="1" applyAlignment="1">
      <alignment horizontal="center" wrapText="1"/>
    </xf>
    <xf numFmtId="3" fontId="8" fillId="44" borderId="17" xfId="1208" applyNumberFormat="1" applyFont="1" applyFill="1" applyBorder="1" applyAlignment="1">
      <alignment horizontal="center" wrapText="1"/>
    </xf>
    <xf numFmtId="0" fontId="10" fillId="44" borderId="0" xfId="1208" applyFont="1" applyFill="1"/>
    <xf numFmtId="0" fontId="261" fillId="48" borderId="0" xfId="1208" applyFill="1"/>
    <xf numFmtId="4" fontId="8" fillId="48" borderId="17" xfId="1208" applyNumberFormat="1" applyFont="1" applyFill="1" applyBorder="1" applyAlignment="1">
      <alignment horizontal="center" wrapText="1"/>
    </xf>
    <xf numFmtId="3" fontId="69" fillId="49" borderId="17" xfId="1208" applyNumberFormat="1" applyFont="1" applyFill="1" applyBorder="1" applyAlignment="1">
      <alignment horizontal="center" wrapText="1"/>
    </xf>
    <xf numFmtId="0" fontId="148" fillId="46" borderId="0" xfId="1181" applyFont="1" applyFill="1" applyAlignment="1"/>
    <xf numFmtId="168" fontId="148" fillId="46" borderId="0" xfId="1181" applyNumberFormat="1" applyFont="1" applyFill="1"/>
    <xf numFmtId="0" fontId="148" fillId="46" borderId="0" xfId="1181" applyFont="1" applyFill="1"/>
    <xf numFmtId="0" fontId="228" fillId="48" borderId="0" xfId="1181" applyFont="1" applyFill="1"/>
    <xf numFmtId="0" fontId="148" fillId="0" borderId="0" xfId="1181" applyFont="1"/>
    <xf numFmtId="168" fontId="148" fillId="46" borderId="0" xfId="1181" applyNumberFormat="1" applyFont="1" applyFill="1" applyAlignment="1">
      <alignment horizontal="right"/>
    </xf>
    <xf numFmtId="168" fontId="228" fillId="48" borderId="0" xfId="1181" applyNumberFormat="1" applyFont="1" applyFill="1" applyAlignment="1">
      <alignment horizontal="right"/>
    </xf>
    <xf numFmtId="170" fontId="223" fillId="44" borderId="17" xfId="0" applyNumberFormat="1" applyFont="1" applyFill="1" applyBorder="1"/>
    <xf numFmtId="3" fontId="223" fillId="44" borderId="11" xfId="1318" applyNumberFormat="1" applyFont="1" applyFill="1" applyBorder="1" applyAlignment="1" applyProtection="1">
      <alignment horizontal="right" vertical="center"/>
      <protection locked="0"/>
    </xf>
    <xf numFmtId="168" fontId="225" fillId="29" borderId="11" xfId="0" applyNumberFormat="1" applyFont="1" applyFill="1" applyBorder="1"/>
    <xf numFmtId="173" fontId="229" fillId="44" borderId="17" xfId="1216" applyNumberFormat="1" applyFont="1" applyFill="1" applyBorder="1" applyAlignment="1">
      <alignment horizontal="right" wrapText="1"/>
    </xf>
    <xf numFmtId="170" fontId="223" fillId="46" borderId="17" xfId="0" applyNumberFormat="1" applyFont="1" applyFill="1" applyBorder="1" applyAlignment="1">
      <alignment vertical="center" wrapText="1"/>
    </xf>
    <xf numFmtId="0" fontId="147" fillId="46" borderId="0" xfId="0" applyFont="1" applyFill="1" applyAlignment="1">
      <alignment horizontal="centerContinuous"/>
    </xf>
    <xf numFmtId="170" fontId="223" fillId="49" borderId="17" xfId="0" applyNumberFormat="1" applyFont="1" applyFill="1" applyBorder="1"/>
    <xf numFmtId="10" fontId="148" fillId="46" borderId="0" xfId="0" applyNumberFormat="1" applyFont="1" applyFill="1"/>
    <xf numFmtId="0" fontId="0" fillId="0" borderId="17" xfId="0" applyBorder="1"/>
    <xf numFmtId="167" fontId="98" fillId="46" borderId="11" xfId="0" applyNumberFormat="1" applyFont="1" applyFill="1" applyBorder="1"/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 wrapText="1"/>
    </xf>
    <xf numFmtId="0" fontId="160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24" xfId="0" applyBorder="1" applyAlignment="1">
      <alignment horizontal="left" wrapText="1"/>
    </xf>
    <xf numFmtId="0" fontId="122" fillId="0" borderId="24" xfId="0" applyFont="1" applyBorder="1" applyAlignment="1">
      <alignment horizontal="center" wrapText="1"/>
    </xf>
    <xf numFmtId="0" fontId="0" fillId="0" borderId="24" xfId="0" applyBorder="1" applyAlignment="1">
      <alignment horizontal="right" wrapText="1"/>
    </xf>
    <xf numFmtId="0" fontId="105" fillId="46" borderId="17" xfId="1214" applyFont="1" applyFill="1" applyBorder="1" applyAlignment="1" applyProtection="1">
      <alignment horizontal="left" vertical="center" wrapText="1"/>
    </xf>
    <xf numFmtId="0" fontId="258" fillId="0" borderId="0" xfId="0" applyFont="1" applyAlignment="1">
      <alignment horizontal="center" vertical="top" wrapText="1"/>
    </xf>
    <xf numFmtId="0" fontId="19" fillId="0" borderId="17" xfId="0" applyFont="1" applyBorder="1" applyAlignment="1">
      <alignment horizontal="center" wrapText="1"/>
    </xf>
    <xf numFmtId="0" fontId="121" fillId="0" borderId="17" xfId="0" applyFont="1" applyBorder="1" applyAlignment="1">
      <alignment horizontal="left" vertical="center" wrapText="1"/>
    </xf>
    <xf numFmtId="0" fontId="121" fillId="0" borderId="17" xfId="0" applyFont="1" applyBorder="1" applyAlignment="1">
      <alignment vertical="center" wrapText="1"/>
    </xf>
    <xf numFmtId="0" fontId="104" fillId="0" borderId="17" xfId="1178" applyFont="1" applyFill="1" applyBorder="1" applyAlignment="1" applyProtection="1">
      <alignment horizontal="center" vertical="center" wrapText="1"/>
    </xf>
    <xf numFmtId="0" fontId="65" fillId="48" borderId="17" xfId="0" applyFont="1" applyFill="1" applyBorder="1" applyAlignment="1">
      <alignment vertical="center" wrapText="1"/>
    </xf>
    <xf numFmtId="0" fontId="123" fillId="0" borderId="17" xfId="1178" applyFont="1" applyFill="1" applyBorder="1" applyAlignment="1" applyProtection="1">
      <alignment horizontal="center" vertical="center" wrapText="1"/>
    </xf>
    <xf numFmtId="0" fontId="65" fillId="0" borderId="17" xfId="0" applyFont="1" applyBorder="1" applyAlignment="1">
      <alignment horizontal="left" vertical="center" wrapText="1"/>
    </xf>
    <xf numFmtId="0" fontId="104" fillId="0" borderId="17" xfId="1178" applyFont="1" applyFill="1" applyBorder="1" applyAlignment="1" applyProtection="1">
      <alignment vertical="center" wrapText="1"/>
    </xf>
    <xf numFmtId="0" fontId="0" fillId="0" borderId="17" xfId="0" applyFont="1" applyBorder="1" applyAlignment="1">
      <alignment horizontal="right" vertical="distributed" wrapText="1"/>
    </xf>
    <xf numFmtId="0" fontId="105" fillId="0" borderId="17" xfId="1178" applyFont="1" applyFill="1" applyBorder="1" applyAlignment="1" applyProtection="1">
      <alignment horizontal="left" vertical="center" wrapText="1"/>
    </xf>
    <xf numFmtId="0" fontId="105" fillId="0" borderId="17" xfId="1178" applyFont="1" applyFill="1" applyBorder="1" applyAlignment="1" applyProtection="1">
      <alignment horizontal="center" vertical="center" wrapText="1"/>
    </xf>
    <xf numFmtId="0" fontId="0" fillId="48" borderId="17" xfId="0" applyFont="1" applyFill="1" applyBorder="1" applyAlignment="1">
      <alignment vertical="center" wrapText="1"/>
    </xf>
    <xf numFmtId="0" fontId="122" fillId="0" borderId="17" xfId="0" applyFont="1" applyBorder="1" applyAlignment="1">
      <alignment horizontal="right" vertical="center" wrapText="1"/>
    </xf>
    <xf numFmtId="0" fontId="124" fillId="0" borderId="17" xfId="1178" applyFont="1" applyFill="1" applyBorder="1" applyAlignment="1" applyProtection="1">
      <alignment horizontal="left" vertical="center" wrapText="1"/>
    </xf>
    <xf numFmtId="0" fontId="0" fillId="48" borderId="17" xfId="0" applyFont="1" applyFill="1" applyBorder="1" applyAlignment="1">
      <alignment horizontal="right" vertical="center" wrapText="1"/>
    </xf>
    <xf numFmtId="3" fontId="124" fillId="0" borderId="17" xfId="1178" applyNumberFormat="1" applyFont="1" applyFill="1" applyBorder="1" applyAlignment="1" applyProtection="1">
      <alignment horizontal="left" vertical="center" wrapText="1"/>
    </xf>
    <xf numFmtId="0" fontId="104" fillId="0" borderId="17" xfId="1178" applyFont="1" applyFill="1" applyBorder="1" applyAlignment="1" applyProtection="1">
      <alignment horizontal="left" vertical="center" wrapText="1"/>
    </xf>
    <xf numFmtId="0" fontId="65" fillId="48" borderId="17" xfId="0" applyFont="1" applyFill="1" applyBorder="1" applyAlignment="1">
      <alignment wrapText="1"/>
    </xf>
    <xf numFmtId="0" fontId="0" fillId="0" borderId="17" xfId="0" applyFont="1" applyBorder="1" applyAlignment="1">
      <alignment wrapText="1"/>
    </xf>
    <xf numFmtId="0" fontId="104" fillId="0" borderId="17" xfId="1025" applyFont="1" applyFill="1" applyBorder="1" applyAlignment="1" applyProtection="1">
      <alignment horizontal="left" vertical="center" wrapText="1"/>
    </xf>
    <xf numFmtId="0" fontId="104" fillId="0" borderId="17" xfId="1178" applyFont="1" applyFill="1" applyBorder="1" applyAlignment="1" applyProtection="1">
      <alignment vertical="top" wrapText="1"/>
    </xf>
    <xf numFmtId="0" fontId="259" fillId="0" borderId="17" xfId="1213" applyFont="1" applyFill="1" applyBorder="1" applyAlignment="1">
      <alignment horizontal="left" vertical="center" wrapText="1"/>
    </xf>
    <xf numFmtId="0" fontId="0" fillId="0" borderId="17" xfId="0" applyFont="1" applyBorder="1" applyAlignment="1">
      <alignment horizontal="center" wrapText="1"/>
    </xf>
    <xf numFmtId="0" fontId="0" fillId="0" borderId="17" xfId="0" applyFont="1" applyBorder="1" applyAlignment="1">
      <alignment vertical="center" wrapText="1"/>
    </xf>
    <xf numFmtId="0" fontId="260" fillId="0" borderId="17" xfId="0" applyFont="1" applyBorder="1" applyAlignment="1">
      <alignment horizontal="left" wrapText="1"/>
    </xf>
    <xf numFmtId="0" fontId="65" fillId="0" borderId="17" xfId="0" applyFont="1" applyFill="1" applyBorder="1" applyAlignment="1">
      <alignment horizontal="left" vertical="center" wrapText="1"/>
    </xf>
    <xf numFmtId="0" fontId="0" fillId="0" borderId="17" xfId="0" applyFont="1" applyBorder="1" applyAlignment="1">
      <alignment horizontal="center" vertical="center" wrapText="1"/>
    </xf>
    <xf numFmtId="0" fontId="65" fillId="0" borderId="17" xfId="0" applyFont="1" applyBorder="1" applyAlignment="1">
      <alignment horizontal="center" vertical="center" wrapText="1"/>
    </xf>
    <xf numFmtId="0" fontId="260" fillId="0" borderId="17" xfId="0" applyFont="1" applyBorder="1" applyAlignment="1">
      <alignment wrapText="1"/>
    </xf>
    <xf numFmtId="0" fontId="104" fillId="46" borderId="17" xfId="1214" applyFont="1" applyFill="1" applyBorder="1" applyAlignment="1" applyProtection="1">
      <alignment horizontal="left" vertical="center" wrapText="1"/>
    </xf>
    <xf numFmtId="0" fontId="0" fillId="0" borderId="17" xfId="0" applyFont="1" applyBorder="1" applyAlignment="1">
      <alignment horizontal="left" wrapText="1"/>
    </xf>
    <xf numFmtId="0" fontId="0" fillId="48" borderId="17" xfId="0" applyFont="1" applyFill="1" applyBorder="1" applyAlignment="1">
      <alignment wrapText="1"/>
    </xf>
    <xf numFmtId="0" fontId="65" fillId="0" borderId="17" xfId="0" applyFont="1" applyBorder="1" applyAlignment="1">
      <alignment horizontal="center" vertical="top" wrapText="1"/>
    </xf>
    <xf numFmtId="0" fontId="48" fillId="0" borderId="0" xfId="1181" applyFont="1"/>
    <xf numFmtId="0" fontId="10" fillId="0" borderId="0" xfId="1176" applyFont="1"/>
    <xf numFmtId="0" fontId="10" fillId="0" borderId="0" xfId="1176" applyFont="1" applyAlignment="1">
      <alignment horizontal="justify"/>
    </xf>
    <xf numFmtId="0" fontId="10" fillId="0" borderId="0" xfId="1176" applyFont="1" applyAlignment="1">
      <alignment horizontal="center"/>
    </xf>
    <xf numFmtId="0" fontId="148" fillId="0" borderId="0" xfId="0" applyFont="1"/>
    <xf numFmtId="0" fontId="148" fillId="0" borderId="0" xfId="0" applyFont="1" applyAlignment="1">
      <alignment horizontal="right"/>
    </xf>
    <xf numFmtId="0" fontId="148" fillId="0" borderId="0" xfId="0" applyFont="1" applyAlignment="1">
      <alignment horizontal="justify"/>
    </xf>
    <xf numFmtId="0" fontId="148" fillId="0" borderId="0" xfId="0" applyFont="1" applyAlignment="1">
      <alignment horizontal="center"/>
    </xf>
    <xf numFmtId="0" fontId="148" fillId="0" borderId="17" xfId="0" applyNumberFormat="1" applyFont="1" applyBorder="1" applyAlignment="1">
      <alignment horizontal="center" vertical="center" wrapText="1"/>
    </xf>
    <xf numFmtId="0" fontId="148" fillId="0" borderId="17" xfId="0" applyNumberFormat="1" applyFont="1" applyFill="1" applyBorder="1" applyAlignment="1">
      <alignment horizontal="center" vertical="center" wrapText="1"/>
    </xf>
    <xf numFmtId="0" fontId="148" fillId="0" borderId="17" xfId="0" applyNumberFormat="1" applyFont="1" applyBorder="1" applyAlignment="1">
      <alignment horizontal="center" wrapText="1"/>
    </xf>
    <xf numFmtId="0" fontId="148" fillId="0" borderId="17" xfId="0" applyNumberFormat="1" applyFont="1" applyBorder="1" applyAlignment="1">
      <alignment horizontal="center"/>
    </xf>
    <xf numFmtId="0" fontId="148" fillId="0" borderId="17" xfId="0" applyNumberFormat="1" applyFont="1" applyFill="1" applyBorder="1" applyAlignment="1">
      <alignment horizontal="center" wrapText="1"/>
    </xf>
    <xf numFmtId="0" fontId="148" fillId="0" borderId="17" xfId="0" applyNumberFormat="1" applyFont="1" applyFill="1" applyBorder="1" applyAlignment="1">
      <alignment horizontal="center"/>
    </xf>
    <xf numFmtId="0" fontId="148" fillId="0" borderId="17" xfId="0" applyFont="1" applyBorder="1" applyAlignment="1">
      <alignment horizontal="center"/>
    </xf>
    <xf numFmtId="0" fontId="148" fillId="0" borderId="17" xfId="0" applyFont="1" applyBorder="1" applyAlignment="1">
      <alignment horizontal="justify"/>
    </xf>
    <xf numFmtId="0" fontId="148" fillId="0" borderId="17" xfId="0" applyFont="1" applyBorder="1" applyAlignment="1">
      <alignment wrapText="1"/>
    </xf>
    <xf numFmtId="0" fontId="148" fillId="0" borderId="17" xfId="0" applyNumberFormat="1" applyFont="1" applyBorder="1" applyAlignment="1">
      <alignment wrapText="1"/>
    </xf>
    <xf numFmtId="0" fontId="148" fillId="0" borderId="17" xfId="0" applyNumberFormat="1" applyFont="1" applyBorder="1" applyAlignment="1"/>
    <xf numFmtId="0" fontId="148" fillId="0" borderId="17" xfId="0" applyNumberFormat="1" applyFont="1" applyFill="1" applyBorder="1" applyAlignment="1">
      <alignment wrapText="1"/>
    </xf>
    <xf numFmtId="0" fontId="148" fillId="0" borderId="17" xfId="0" applyNumberFormat="1" applyFont="1" applyFill="1" applyBorder="1" applyAlignment="1"/>
    <xf numFmtId="0" fontId="148" fillId="0" borderId="17" xfId="0" applyFont="1" applyBorder="1"/>
    <xf numFmtId="0" fontId="148" fillId="0" borderId="17" xfId="0" applyFont="1" applyBorder="1" applyAlignment="1">
      <alignment horizontal="left" wrapText="1"/>
    </xf>
    <xf numFmtId="169" fontId="148" fillId="0" borderId="17" xfId="0" applyNumberFormat="1" applyFont="1" applyBorder="1" applyAlignment="1">
      <alignment horizontal="center"/>
    </xf>
    <xf numFmtId="4" fontId="148" fillId="0" borderId="17" xfId="0" applyNumberFormat="1" applyFont="1" applyBorder="1" applyAlignment="1">
      <alignment horizontal="center"/>
    </xf>
    <xf numFmtId="169" fontId="148" fillId="0" borderId="17" xfId="0" applyNumberFormat="1" applyFont="1" applyFill="1" applyBorder="1" applyAlignment="1">
      <alignment horizontal="center"/>
    </xf>
    <xf numFmtId="4" fontId="149" fillId="0" borderId="17" xfId="1212" applyNumberFormat="1" applyFont="1" applyFill="1" applyBorder="1" applyAlignment="1">
      <alignment horizontal="center"/>
    </xf>
    <xf numFmtId="169" fontId="149" fillId="0" borderId="17" xfId="1212" applyNumberFormat="1" applyFont="1" applyFill="1" applyBorder="1" applyAlignment="1">
      <alignment horizontal="center"/>
    </xf>
    <xf numFmtId="4" fontId="148" fillId="0" borderId="17" xfId="0" applyNumberFormat="1" applyFont="1" applyFill="1" applyBorder="1" applyAlignment="1">
      <alignment horizontal="center"/>
    </xf>
    <xf numFmtId="170" fontId="148" fillId="0" borderId="17" xfId="0" applyNumberFormat="1" applyFont="1" applyFill="1" applyBorder="1" applyAlignment="1">
      <alignment horizontal="center"/>
    </xf>
    <xf numFmtId="0" fontId="8" fillId="53" borderId="0" xfId="0" applyFont="1" applyFill="1"/>
    <xf numFmtId="0" fontId="48" fillId="53" borderId="0" xfId="0" applyFont="1" applyFill="1" applyAlignment="1">
      <alignment horizontal="centerContinuous"/>
    </xf>
    <xf numFmtId="0" fontId="15" fillId="53" borderId="0" xfId="0" applyFont="1" applyFill="1"/>
    <xf numFmtId="0" fontId="272" fillId="0" borderId="0" xfId="1176" applyFont="1"/>
    <xf numFmtId="0" fontId="263" fillId="0" borderId="0" xfId="0" applyFont="1"/>
    <xf numFmtId="0" fontId="270" fillId="0" borderId="0" xfId="1176" applyFont="1"/>
    <xf numFmtId="4" fontId="267" fillId="55" borderId="17" xfId="0" applyNumberFormat="1" applyFont="1" applyFill="1" applyBorder="1" applyAlignment="1">
      <alignment horizontal="center"/>
    </xf>
    <xf numFmtId="4" fontId="267" fillId="55" borderId="17" xfId="0" applyNumberFormat="1" applyFont="1" applyFill="1" applyBorder="1" applyAlignment="1">
      <alignment horizontal="left"/>
    </xf>
    <xf numFmtId="0" fontId="125" fillId="0" borderId="0" xfId="1181" applyFont="1"/>
    <xf numFmtId="0" fontId="7" fillId="46" borderId="66" xfId="0" applyFont="1" applyFill="1" applyBorder="1" applyAlignment="1">
      <alignment horizontal="center" vertical="center" wrapText="1"/>
    </xf>
    <xf numFmtId="198" fontId="8" fillId="51" borderId="66" xfId="1217" applyNumberFormat="1" applyFont="1" applyFill="1" applyBorder="1" applyAlignment="1">
      <alignment horizontal="center" vertical="top"/>
    </xf>
    <xf numFmtId="198" fontId="7" fillId="51" borderId="66" xfId="1217" applyNumberFormat="1" applyFont="1" applyFill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271" fillId="55" borderId="26" xfId="1176" applyFont="1" applyFill="1" applyBorder="1" applyAlignment="1">
      <alignment horizontal="center"/>
    </xf>
    <xf numFmtId="0" fontId="273" fillId="56" borderId="0" xfId="1176" applyFont="1" applyFill="1" applyAlignment="1">
      <alignment horizontal="left"/>
    </xf>
    <xf numFmtId="0" fontId="273" fillId="56" borderId="0" xfId="1176" applyFont="1" applyFill="1" applyAlignment="1">
      <alignment horizontal="center"/>
    </xf>
    <xf numFmtId="0" fontId="273" fillId="56" borderId="0" xfId="1176" applyFont="1" applyFill="1"/>
    <xf numFmtId="4" fontId="269" fillId="55" borderId="17" xfId="0" applyNumberFormat="1" applyFont="1" applyFill="1" applyBorder="1" applyAlignment="1">
      <alignment horizontal="center" wrapText="1"/>
    </xf>
    <xf numFmtId="0" fontId="10" fillId="53" borderId="0" xfId="1176" applyFont="1" applyFill="1" applyAlignment="1">
      <alignment horizontal="center"/>
    </xf>
    <xf numFmtId="0" fontId="8" fillId="0" borderId="0" xfId="1428" applyFont="1" applyAlignment="1">
      <alignment horizontal="right"/>
    </xf>
    <xf numFmtId="215" fontId="8" fillId="0" borderId="0" xfId="1427" applyNumberFormat="1" applyFont="1"/>
    <xf numFmtId="168" fontId="7" fillId="0" borderId="66" xfId="0" applyNumberFormat="1" applyFont="1" applyBorder="1" applyAlignment="1">
      <alignment horizontal="center"/>
    </xf>
    <xf numFmtId="0" fontId="23" fillId="0" borderId="0" xfId="0" applyFont="1" applyAlignment="1">
      <alignment horizontal="center"/>
    </xf>
    <xf numFmtId="0" fontId="7" fillId="0" borderId="66" xfId="0" applyFont="1" applyBorder="1" applyAlignment="1">
      <alignment horizontal="center"/>
    </xf>
    <xf numFmtId="194" fontId="54" fillId="0" borderId="0" xfId="0" applyNumberFormat="1" applyFont="1"/>
    <xf numFmtId="0" fontId="15" fillId="53" borderId="0" xfId="0" quotePrefix="1" applyFont="1" applyFill="1" applyAlignment="1">
      <alignment horizontal="right"/>
    </xf>
    <xf numFmtId="0" fontId="15" fillId="53" borderId="0" xfId="0" applyFont="1" applyFill="1" applyAlignment="1">
      <alignment horizontal="centerContinuous"/>
    </xf>
    <xf numFmtId="0" fontId="15" fillId="53" borderId="0" xfId="0" applyFont="1" applyFill="1" applyBorder="1" applyAlignment="1">
      <alignment horizontal="center"/>
    </xf>
    <xf numFmtId="0" fontId="15" fillId="53" borderId="0" xfId="0" applyFont="1" applyFill="1" applyBorder="1"/>
    <xf numFmtId="0" fontId="15" fillId="53" borderId="0" xfId="0" applyFont="1" applyFill="1" applyAlignment="1">
      <alignment horizontal="right"/>
    </xf>
    <xf numFmtId="0" fontId="15" fillId="53" borderId="17" xfId="0" applyFont="1" applyFill="1" applyBorder="1" applyAlignment="1">
      <alignment horizontal="center"/>
    </xf>
    <xf numFmtId="0" fontId="16" fillId="53" borderId="17" xfId="0" applyFont="1" applyFill="1" applyBorder="1" applyAlignment="1">
      <alignment horizontal="center"/>
    </xf>
    <xf numFmtId="197" fontId="15" fillId="53" borderId="17" xfId="1216" applyNumberFormat="1" applyFont="1" applyFill="1" applyBorder="1" applyAlignment="1">
      <alignment horizontal="right" wrapText="1"/>
    </xf>
    <xf numFmtId="165" fontId="15" fillId="53" borderId="17" xfId="0" applyNumberFormat="1" applyFont="1" applyFill="1" applyBorder="1" applyAlignment="1"/>
    <xf numFmtId="0" fontId="15" fillId="53" borderId="17" xfId="0" applyFont="1" applyFill="1" applyBorder="1" applyAlignment="1"/>
    <xf numFmtId="0" fontId="15" fillId="53" borderId="0" xfId="0" applyFont="1" applyFill="1" applyAlignment="1"/>
    <xf numFmtId="193" fontId="15" fillId="53" borderId="17" xfId="1216" applyNumberFormat="1" applyFont="1" applyFill="1" applyBorder="1" applyAlignment="1">
      <alignment horizontal="right" wrapText="1"/>
    </xf>
    <xf numFmtId="173" fontId="15" fillId="53" borderId="17" xfId="1216" applyNumberFormat="1" applyFont="1" applyFill="1" applyBorder="1" applyAlignment="1">
      <alignment horizontal="right" wrapText="1"/>
    </xf>
    <xf numFmtId="2" fontId="15" fillId="53" borderId="23" xfId="0" applyNumberFormat="1" applyFont="1" applyFill="1" applyBorder="1" applyAlignment="1"/>
    <xf numFmtId="173" fontId="15" fillId="53" borderId="23" xfId="1216" applyNumberFormat="1" applyFont="1" applyFill="1" applyBorder="1" applyAlignment="1">
      <alignment horizontal="right" wrapText="1"/>
    </xf>
    <xf numFmtId="0" fontId="15" fillId="53" borderId="23" xfId="0" applyFont="1" applyFill="1" applyBorder="1" applyAlignment="1"/>
    <xf numFmtId="0" fontId="15" fillId="53" borderId="25" xfId="0" applyFont="1" applyFill="1" applyBorder="1" applyAlignment="1"/>
    <xf numFmtId="0" fontId="15" fillId="53" borderId="22" xfId="0" applyFont="1" applyFill="1" applyBorder="1" applyAlignment="1"/>
    <xf numFmtId="197" fontId="15" fillId="53" borderId="23" xfId="1216" applyNumberFormat="1" applyFont="1" applyFill="1" applyBorder="1" applyAlignment="1">
      <alignment horizontal="right" wrapText="1"/>
    </xf>
    <xf numFmtId="0" fontId="15" fillId="53" borderId="29" xfId="0" applyFont="1" applyFill="1" applyBorder="1" applyAlignment="1"/>
    <xf numFmtId="0" fontId="15" fillId="53" borderId="24" xfId="0" applyFont="1" applyFill="1" applyBorder="1" applyAlignment="1"/>
    <xf numFmtId="0" fontId="102" fillId="53" borderId="0" xfId="1181" applyFont="1" applyFill="1"/>
    <xf numFmtId="0" fontId="10" fillId="56" borderId="0" xfId="1176" applyFont="1" applyFill="1"/>
    <xf numFmtId="0" fontId="10" fillId="56" borderId="0" xfId="1176" applyFont="1" applyFill="1" applyAlignment="1">
      <alignment horizontal="center"/>
    </xf>
    <xf numFmtId="0" fontId="120" fillId="53" borderId="0" xfId="0" applyFont="1" applyFill="1" applyAlignment="1">
      <alignment horizontal="centerContinuous"/>
    </xf>
    <xf numFmtId="0" fontId="0" fillId="53" borderId="0" xfId="0" applyFont="1" applyFill="1" applyAlignment="1">
      <alignment horizontal="centerContinuous"/>
    </xf>
    <xf numFmtId="0" fontId="262" fillId="53" borderId="0" xfId="0" applyFont="1" applyFill="1"/>
    <xf numFmtId="0" fontId="0" fillId="53" borderId="0" xfId="0" applyFont="1" applyFill="1" applyAlignment="1"/>
    <xf numFmtId="0" fontId="0" fillId="53" borderId="0" xfId="0" applyFont="1" applyFill="1"/>
    <xf numFmtId="4" fontId="0" fillId="53" borderId="0" xfId="0" applyNumberFormat="1" applyFont="1" applyFill="1"/>
    <xf numFmtId="0" fontId="262" fillId="55" borderId="0" xfId="0" applyFont="1" applyFill="1" applyAlignment="1">
      <alignment horizontal="right"/>
    </xf>
    <xf numFmtId="0" fontId="0" fillId="56" borderId="0" xfId="0" applyFill="1" applyAlignment="1">
      <alignment horizontal="center"/>
    </xf>
    <xf numFmtId="170" fontId="262" fillId="55" borderId="0" xfId="0" applyNumberFormat="1" applyFont="1" applyFill="1" applyAlignment="1"/>
    <xf numFmtId="170" fontId="0" fillId="56" borderId="0" xfId="0" applyNumberFormat="1" applyFont="1" applyFill="1" applyAlignment="1">
      <alignment horizontal="center"/>
    </xf>
    <xf numFmtId="0" fontId="65" fillId="53" borderId="0" xfId="0" applyFont="1" applyFill="1"/>
    <xf numFmtId="0" fontId="0" fillId="60" borderId="0" xfId="0" applyFont="1" applyFill="1" applyAlignment="1">
      <alignment horizontal="right"/>
    </xf>
    <xf numFmtId="170" fontId="0" fillId="60" borderId="0" xfId="0" applyNumberFormat="1" applyFont="1" applyFill="1"/>
    <xf numFmtId="0" fontId="0" fillId="53" borderId="17" xfId="0" applyFont="1" applyFill="1" applyBorder="1" applyAlignment="1">
      <alignment horizontal="center" vertical="top"/>
    </xf>
    <xf numFmtId="170" fontId="0" fillId="53" borderId="17" xfId="0" applyNumberFormat="1" applyFont="1" applyFill="1" applyBorder="1" applyAlignment="1">
      <alignment horizontal="center" vertical="top" wrapText="1"/>
    </xf>
    <xf numFmtId="0" fontId="262" fillId="53" borderId="0" xfId="0" applyFont="1" applyFill="1" applyAlignment="1"/>
    <xf numFmtId="170" fontId="274" fillId="61" borderId="0" xfId="0" applyNumberFormat="1" applyFont="1" applyFill="1" applyAlignment="1">
      <alignment horizontal="right"/>
    </xf>
    <xf numFmtId="0" fontId="0" fillId="53" borderId="17" xfId="0" applyFont="1" applyFill="1" applyBorder="1" applyAlignment="1">
      <alignment horizontal="right"/>
    </xf>
    <xf numFmtId="0" fontId="0" fillId="53" borderId="33" xfId="0" applyFill="1" applyBorder="1"/>
    <xf numFmtId="0" fontId="0" fillId="53" borderId="6" xfId="0" applyFont="1" applyFill="1" applyBorder="1"/>
    <xf numFmtId="0" fontId="0" fillId="53" borderId="17" xfId="0" applyFill="1" applyBorder="1" applyAlignment="1">
      <alignment horizontal="right"/>
    </xf>
    <xf numFmtId="0" fontId="0" fillId="53" borderId="29" xfId="0" applyFont="1" applyFill="1" applyBorder="1"/>
    <xf numFmtId="4" fontId="262" fillId="53" borderId="0" xfId="0" applyNumberFormat="1" applyFont="1" applyFill="1"/>
    <xf numFmtId="0" fontId="262" fillId="53" borderId="0" xfId="0" applyFont="1" applyFill="1" applyAlignment="1">
      <alignment horizontal="right"/>
    </xf>
    <xf numFmtId="0" fontId="0" fillId="56" borderId="0" xfId="0" applyFont="1" applyFill="1"/>
    <xf numFmtId="170" fontId="262" fillId="56" borderId="0" xfId="0" applyNumberFormat="1" applyFont="1" applyFill="1" applyAlignment="1">
      <alignment horizontal="center"/>
    </xf>
    <xf numFmtId="0" fontId="262" fillId="56" borderId="0" xfId="0" applyFont="1" applyFill="1" applyAlignment="1">
      <alignment horizontal="center"/>
    </xf>
    <xf numFmtId="170" fontId="262" fillId="56" borderId="0" xfId="0" applyNumberFormat="1" applyFont="1" applyFill="1" applyAlignment="1">
      <alignment horizontal="right"/>
    </xf>
    <xf numFmtId="0" fontId="262" fillId="56" borderId="0" xfId="0" applyFont="1" applyFill="1" applyAlignment="1">
      <alignment horizontal="left"/>
    </xf>
    <xf numFmtId="0" fontId="0" fillId="53" borderId="28" xfId="0" applyFill="1" applyBorder="1"/>
    <xf numFmtId="170" fontId="262" fillId="53" borderId="0" xfId="0" applyNumberFormat="1" applyFont="1" applyFill="1"/>
    <xf numFmtId="0" fontId="275" fillId="55" borderId="30" xfId="0" applyFont="1" applyFill="1" applyBorder="1"/>
    <xf numFmtId="0" fontId="266" fillId="55" borderId="24" xfId="0" applyFont="1" applyFill="1" applyBorder="1"/>
    <xf numFmtId="4" fontId="0" fillId="53" borderId="22" xfId="0" applyNumberFormat="1" applyFont="1" applyFill="1" applyBorder="1"/>
    <xf numFmtId="170" fontId="0" fillId="53" borderId="0" xfId="0" applyNumberFormat="1" applyFont="1" applyFill="1"/>
    <xf numFmtId="0" fontId="0" fillId="53" borderId="24" xfId="0" applyFont="1" applyFill="1" applyBorder="1"/>
    <xf numFmtId="0" fontId="0" fillId="53" borderId="0" xfId="0" applyFill="1"/>
    <xf numFmtId="170" fontId="65" fillId="53" borderId="0" xfId="0" applyNumberFormat="1" applyFont="1" applyFill="1"/>
    <xf numFmtId="0" fontId="148" fillId="46" borderId="0" xfId="1434" applyFont="1" applyFill="1" applyAlignment="1"/>
    <xf numFmtId="0" fontId="150" fillId="0" borderId="0" xfId="1434" applyFont="1" applyAlignment="1"/>
    <xf numFmtId="168" fontId="148" fillId="46" borderId="0" xfId="1434" applyNumberFormat="1" applyFont="1" applyFill="1"/>
    <xf numFmtId="0" fontId="148" fillId="46" borderId="0" xfId="1434" applyFont="1" applyFill="1"/>
    <xf numFmtId="0" fontId="131" fillId="0" borderId="0" xfId="1434" applyFont="1"/>
    <xf numFmtId="0" fontId="148" fillId="0" borderId="0" xfId="1434" applyFont="1"/>
    <xf numFmtId="169" fontId="268" fillId="0" borderId="0" xfId="1434" applyNumberFormat="1" applyFont="1"/>
    <xf numFmtId="168" fontId="131" fillId="46" borderId="0" xfId="1434" applyNumberFormat="1" applyFont="1" applyFill="1" applyAlignment="1">
      <alignment horizontal="left"/>
    </xf>
    <xf numFmtId="168" fontId="131" fillId="0" borderId="0" xfId="1434" applyNumberFormat="1" applyFont="1" applyAlignment="1">
      <alignment horizontal="center"/>
    </xf>
    <xf numFmtId="0" fontId="102" fillId="53" borderId="0" xfId="0" applyFont="1" applyFill="1"/>
    <xf numFmtId="0" fontId="102" fillId="53" borderId="0" xfId="0" applyFont="1" applyFill="1" applyAlignment="1">
      <alignment horizontal="center"/>
    </xf>
    <xf numFmtId="49" fontId="102" fillId="53" borderId="0" xfId="0" applyNumberFormat="1" applyFont="1" applyFill="1" applyAlignment="1">
      <alignment horizontal="center"/>
    </xf>
    <xf numFmtId="0" fontId="276" fillId="53" borderId="0" xfId="0" applyFont="1" applyFill="1"/>
    <xf numFmtId="0" fontId="263" fillId="0" borderId="0" xfId="0" applyFont="1" applyAlignment="1">
      <alignment horizontal="right"/>
    </xf>
    <xf numFmtId="0" fontId="8" fillId="53" borderId="66" xfId="0" applyFont="1" applyFill="1" applyBorder="1" applyAlignment="1">
      <alignment horizontal="center" vertical="center" wrapText="1"/>
    </xf>
    <xf numFmtId="0" fontId="264" fillId="53" borderId="66" xfId="0" applyFont="1" applyFill="1" applyBorder="1" applyAlignment="1">
      <alignment horizontal="center" vertical="center" wrapText="1"/>
    </xf>
    <xf numFmtId="0" fontId="8" fillId="56" borderId="67" xfId="0" applyFont="1" applyFill="1" applyBorder="1" applyAlignment="1">
      <alignment horizontal="center"/>
    </xf>
    <xf numFmtId="193" fontId="8" fillId="62" borderId="66" xfId="1217" applyNumberFormat="1" applyFont="1" applyFill="1" applyBorder="1" applyAlignment="1">
      <alignment horizontal="center"/>
    </xf>
    <xf numFmtId="0" fontId="96" fillId="56" borderId="66" xfId="0" applyFont="1" applyFill="1" applyBorder="1" applyAlignment="1">
      <alignment horizontal="center" vertical="center" wrapText="1"/>
    </xf>
    <xf numFmtId="215" fontId="265" fillId="63" borderId="0" xfId="1427" applyNumberFormat="1" applyFont="1" applyFill="1"/>
    <xf numFmtId="0" fontId="264" fillId="0" borderId="0" xfId="0" applyFont="1" applyAlignment="1">
      <alignment horizontal="centerContinuous" vertical="center" wrapText="1"/>
    </xf>
    <xf numFmtId="168" fontId="10" fillId="0" borderId="0" xfId="1176" applyNumberFormat="1" applyFont="1"/>
    <xf numFmtId="4" fontId="262" fillId="55" borderId="0" xfId="0" applyNumberFormat="1" applyFont="1" applyFill="1"/>
    <xf numFmtId="170" fontId="148" fillId="0" borderId="33" xfId="0" applyNumberFormat="1" applyFont="1" applyFill="1" applyBorder="1" applyAlignment="1">
      <alignment horizontal="center"/>
    </xf>
    <xf numFmtId="0" fontId="10" fillId="55" borderId="28" xfId="1176" applyFont="1" applyFill="1" applyBorder="1" applyAlignment="1">
      <alignment horizontal="center"/>
    </xf>
    <xf numFmtId="0" fontId="10" fillId="55" borderId="30" xfId="1176" applyFont="1" applyFill="1" applyBorder="1" applyAlignment="1">
      <alignment horizontal="center"/>
    </xf>
    <xf numFmtId="0" fontId="271" fillId="55" borderId="24" xfId="1176" applyFont="1" applyFill="1" applyBorder="1" applyAlignment="1">
      <alignment horizontal="center"/>
    </xf>
    <xf numFmtId="0" fontId="271" fillId="55" borderId="25" xfId="1176" applyFont="1" applyFill="1" applyBorder="1" applyAlignment="1">
      <alignment horizontal="center"/>
    </xf>
    <xf numFmtId="0" fontId="278" fillId="55" borderId="27" xfId="1176" applyFont="1" applyFill="1" applyBorder="1" applyAlignment="1">
      <alignment horizontal="center"/>
    </xf>
    <xf numFmtId="0" fontId="277" fillId="55" borderId="29" xfId="0" applyFont="1" applyFill="1" applyBorder="1" applyAlignment="1">
      <alignment horizontal="right"/>
    </xf>
    <xf numFmtId="0" fontId="23" fillId="56" borderId="0" xfId="1208" applyFont="1" applyFill="1"/>
    <xf numFmtId="0" fontId="8" fillId="56" borderId="0" xfId="1208" applyFont="1" applyFill="1"/>
    <xf numFmtId="10" fontId="8" fillId="56" borderId="0" xfId="1208" applyNumberFormat="1" applyFont="1" applyFill="1"/>
    <xf numFmtId="3" fontId="23" fillId="56" borderId="0" xfId="1208" applyNumberFormat="1" applyFont="1" applyFill="1"/>
    <xf numFmtId="0" fontId="261" fillId="56" borderId="0" xfId="1208" applyFill="1"/>
    <xf numFmtId="0" fontId="8" fillId="56" borderId="23" xfId="1208" applyFont="1" applyFill="1" applyBorder="1" applyAlignment="1">
      <alignment horizontal="centerContinuous" wrapText="1"/>
    </xf>
    <xf numFmtId="10" fontId="8" fillId="56" borderId="23" xfId="1208" applyNumberFormat="1" applyFont="1" applyFill="1" applyBorder="1" applyAlignment="1">
      <alignment horizontal="centerContinuous" wrapText="1"/>
    </xf>
    <xf numFmtId="0" fontId="8" fillId="56" borderId="17" xfId="1208" applyFont="1" applyFill="1" applyBorder="1" applyAlignment="1">
      <alignment horizontal="center" wrapText="1"/>
    </xf>
    <xf numFmtId="10" fontId="9" fillId="56" borderId="17" xfId="1208" applyNumberFormat="1" applyFont="1" applyFill="1" applyBorder="1" applyAlignment="1">
      <alignment horizontal="center" vertical="top" wrapText="1"/>
    </xf>
    <xf numFmtId="0" fontId="9" fillId="56" borderId="17" xfId="1208" applyFont="1" applyFill="1" applyBorder="1" applyAlignment="1">
      <alignment horizontal="center" vertical="top" wrapText="1"/>
    </xf>
    <xf numFmtId="0" fontId="8" fillId="56" borderId="17" xfId="1208" applyFont="1" applyFill="1" applyBorder="1" applyAlignment="1">
      <alignment horizontal="center" vertical="top" wrapText="1"/>
    </xf>
    <xf numFmtId="0" fontId="13" fillId="56" borderId="17" xfId="1208" applyFont="1" applyFill="1" applyBorder="1" applyAlignment="1">
      <alignment horizontal="center" vertical="top" wrapText="1"/>
    </xf>
    <xf numFmtId="10" fontId="8" fillId="56" borderId="17" xfId="1208" applyNumberFormat="1" applyFont="1" applyFill="1" applyBorder="1" applyAlignment="1">
      <alignment horizontal="center" vertical="top" wrapText="1"/>
    </xf>
    <xf numFmtId="4" fontId="8" fillId="56" borderId="17" xfId="1208" applyNumberFormat="1" applyFont="1" applyFill="1" applyBorder="1" applyAlignment="1">
      <alignment horizontal="center" wrapText="1"/>
    </xf>
    <xf numFmtId="10" fontId="8" fillId="56" borderId="17" xfId="1208" applyNumberFormat="1" applyFont="1" applyFill="1" applyBorder="1" applyAlignment="1">
      <alignment horizontal="center" wrapText="1"/>
    </xf>
    <xf numFmtId="3" fontId="8" fillId="56" borderId="17" xfId="1208" applyNumberFormat="1" applyFont="1" applyFill="1" applyBorder="1" applyAlignment="1">
      <alignment horizontal="center" wrapText="1"/>
    </xf>
    <xf numFmtId="0" fontId="2" fillId="56" borderId="0" xfId="1208" applyFont="1" applyFill="1"/>
    <xf numFmtId="3" fontId="264" fillId="53" borderId="17" xfId="1208" applyNumberFormat="1" applyFont="1" applyFill="1" applyBorder="1" applyAlignment="1">
      <alignment horizontal="center" wrapText="1"/>
    </xf>
    <xf numFmtId="0" fontId="145" fillId="0" borderId="0" xfId="1435" applyFont="1" applyAlignment="1">
      <alignment horizontal="centerContinuous"/>
    </xf>
    <xf numFmtId="10" fontId="145" fillId="0" borderId="0" xfId="1435" applyNumberFormat="1" applyFont="1" applyAlignment="1">
      <alignment horizontal="centerContinuous"/>
    </xf>
    <xf numFmtId="0" fontId="1" fillId="0" borderId="0" xfId="1435"/>
    <xf numFmtId="0" fontId="1" fillId="0" borderId="0" xfId="1435" applyFont="1"/>
    <xf numFmtId="10" fontId="1" fillId="0" borderId="0" xfId="1435" applyNumberFormat="1"/>
    <xf numFmtId="0" fontId="48" fillId="0" borderId="0" xfId="1435" applyFont="1"/>
    <xf numFmtId="0" fontId="23" fillId="0" borderId="0" xfId="1435" applyFont="1"/>
    <xf numFmtId="0" fontId="8" fillId="0" borderId="0" xfId="1435" applyFont="1"/>
    <xf numFmtId="10" fontId="8" fillId="0" borderId="0" xfId="1435" applyNumberFormat="1" applyFont="1"/>
    <xf numFmtId="3" fontId="23" fillId="0" borderId="0" xfId="1435" applyNumberFormat="1" applyFont="1"/>
    <xf numFmtId="0" fontId="10" fillId="0" borderId="0" xfId="1435" applyFont="1"/>
    <xf numFmtId="0" fontId="10" fillId="46" borderId="0" xfId="1435" applyFont="1" applyFill="1"/>
    <xf numFmtId="0" fontId="8" fillId="0" borderId="23" xfId="1435" applyFont="1" applyBorder="1" applyAlignment="1">
      <alignment horizontal="centerContinuous" wrapText="1"/>
    </xf>
    <xf numFmtId="10" fontId="8" fillId="0" borderId="23" xfId="1435" applyNumberFormat="1" applyFont="1" applyBorder="1" applyAlignment="1">
      <alignment horizontal="centerContinuous" wrapText="1"/>
    </xf>
    <xf numFmtId="0" fontId="8" fillId="0" borderId="17" xfId="1435" applyFont="1" applyBorder="1" applyAlignment="1">
      <alignment horizontal="centerContinuous" wrapText="1"/>
    </xf>
    <xf numFmtId="0" fontId="8" fillId="0" borderId="17" xfId="1435" applyFont="1" applyBorder="1" applyAlignment="1">
      <alignment horizontal="center" wrapText="1"/>
    </xf>
    <xf numFmtId="10" fontId="9" fillId="0" borderId="17" xfId="1435" applyNumberFormat="1" applyFont="1" applyBorder="1" applyAlignment="1">
      <alignment horizontal="center" vertical="top" wrapText="1"/>
    </xf>
    <xf numFmtId="0" fontId="9" fillId="0" borderId="17" xfId="1435" applyFont="1" applyBorder="1" applyAlignment="1">
      <alignment horizontal="center" vertical="top" wrapText="1"/>
    </xf>
    <xf numFmtId="0" fontId="8" fillId="0" borderId="17" xfId="1435" applyFont="1" applyBorder="1" applyAlignment="1">
      <alignment horizontal="center" vertical="top" wrapText="1"/>
    </xf>
    <xf numFmtId="0" fontId="13" fillId="0" borderId="17" xfId="1435" applyFont="1" applyBorder="1" applyAlignment="1">
      <alignment horizontal="center" vertical="top" wrapText="1"/>
    </xf>
    <xf numFmtId="10" fontId="8" fillId="44" borderId="17" xfId="1435" applyNumberFormat="1" applyFont="1" applyFill="1" applyBorder="1" applyAlignment="1">
      <alignment horizontal="center" vertical="top" wrapText="1"/>
    </xf>
    <xf numFmtId="0" fontId="8" fillId="44" borderId="17" xfId="1435" applyFont="1" applyFill="1" applyBorder="1" applyAlignment="1">
      <alignment horizontal="center" vertical="top" wrapText="1"/>
    </xf>
    <xf numFmtId="0" fontId="8" fillId="46" borderId="17" xfId="1435" applyFont="1" applyFill="1" applyBorder="1" applyAlignment="1">
      <alignment horizontal="center" vertical="top" wrapText="1"/>
    </xf>
    <xf numFmtId="10" fontId="8" fillId="44" borderId="17" xfId="1435" applyNumberFormat="1" applyFont="1" applyFill="1" applyBorder="1" applyAlignment="1">
      <alignment horizontal="center" wrapText="1"/>
    </xf>
    <xf numFmtId="0" fontId="8" fillId="46" borderId="17" xfId="1435" applyFont="1" applyFill="1" applyBorder="1" applyAlignment="1">
      <alignment horizontal="center" wrapText="1"/>
    </xf>
    <xf numFmtId="4" fontId="8" fillId="46" borderId="17" xfId="1435" applyNumberFormat="1" applyFont="1" applyFill="1" applyBorder="1" applyAlignment="1">
      <alignment horizontal="center" wrapText="1"/>
    </xf>
    <xf numFmtId="3" fontId="8" fillId="46" borderId="17" xfId="1435" applyNumberFormat="1" applyFont="1" applyFill="1" applyBorder="1" applyAlignment="1">
      <alignment horizontal="center" wrapText="1"/>
    </xf>
    <xf numFmtId="0" fontId="8" fillId="46" borderId="0" xfId="1435" applyFont="1" applyFill="1" applyBorder="1" applyAlignment="1">
      <alignment horizontal="center" wrapText="1"/>
    </xf>
    <xf numFmtId="4" fontId="8" fillId="46" borderId="0" xfId="1435" applyNumberFormat="1" applyFont="1" applyFill="1" applyBorder="1" applyAlignment="1">
      <alignment horizontal="center" wrapText="1"/>
    </xf>
    <xf numFmtId="10" fontId="8" fillId="46" borderId="0" xfId="1435" applyNumberFormat="1" applyFont="1" applyFill="1" applyBorder="1" applyAlignment="1">
      <alignment horizontal="center" wrapText="1"/>
    </xf>
    <xf numFmtId="3" fontId="8" fillId="46" borderId="0" xfId="1435" applyNumberFormat="1" applyFont="1" applyFill="1" applyBorder="1" applyAlignment="1">
      <alignment horizontal="center" wrapText="1"/>
    </xf>
    <xf numFmtId="4" fontId="23" fillId="46" borderId="0" xfId="1435" applyNumberFormat="1" applyFont="1" applyFill="1" applyBorder="1" applyAlignment="1">
      <alignment horizontal="right"/>
    </xf>
    <xf numFmtId="0" fontId="23" fillId="48" borderId="0" xfId="1435" applyFont="1" applyFill="1"/>
    <xf numFmtId="0" fontId="8" fillId="48" borderId="0" xfId="1435" applyFont="1" applyFill="1"/>
    <xf numFmtId="10" fontId="8" fillId="48" borderId="0" xfId="1435" applyNumberFormat="1" applyFont="1" applyFill="1"/>
    <xf numFmtId="3" fontId="23" fillId="48" borderId="0" xfId="1435" applyNumberFormat="1" applyFont="1" applyFill="1"/>
    <xf numFmtId="0" fontId="10" fillId="48" borderId="0" xfId="1435" applyFont="1" applyFill="1"/>
    <xf numFmtId="0" fontId="87" fillId="49" borderId="0" xfId="1435" applyFont="1" applyFill="1"/>
    <xf numFmtId="0" fontId="8" fillId="48" borderId="23" xfId="1435" applyFont="1" applyFill="1" applyBorder="1" applyAlignment="1">
      <alignment horizontal="centerContinuous" wrapText="1"/>
    </xf>
    <xf numFmtId="10" fontId="8" fillId="48" borderId="23" xfId="1435" applyNumberFormat="1" applyFont="1" applyFill="1" applyBorder="1" applyAlignment="1">
      <alignment horizontal="centerContinuous" wrapText="1"/>
    </xf>
    <xf numFmtId="0" fontId="8" fillId="48" borderId="17" xfId="1435" applyFont="1" applyFill="1" applyBorder="1" applyAlignment="1">
      <alignment horizontal="centerContinuous" wrapText="1"/>
    </xf>
    <xf numFmtId="0" fontId="8" fillId="48" borderId="17" xfId="1435" applyFont="1" applyFill="1" applyBorder="1" applyAlignment="1">
      <alignment horizontal="center" wrapText="1"/>
    </xf>
    <xf numFmtId="10" fontId="9" fillId="48" borderId="17" xfId="1435" applyNumberFormat="1" applyFont="1" applyFill="1" applyBorder="1" applyAlignment="1">
      <alignment horizontal="center" vertical="top" wrapText="1"/>
    </xf>
    <xf numFmtId="0" fontId="9" fillId="48" borderId="17" xfId="1435" applyFont="1" applyFill="1" applyBorder="1" applyAlignment="1">
      <alignment horizontal="center" vertical="top" wrapText="1"/>
    </xf>
    <xf numFmtId="0" fontId="8" fillId="48" borderId="17" xfId="1435" applyFont="1" applyFill="1" applyBorder="1" applyAlignment="1">
      <alignment horizontal="center" vertical="top" wrapText="1"/>
    </xf>
    <xf numFmtId="0" fontId="23" fillId="44" borderId="0" xfId="1435" applyFont="1" applyFill="1"/>
    <xf numFmtId="0" fontId="13" fillId="48" borderId="17" xfId="1435" applyFont="1" applyFill="1" applyBorder="1" applyAlignment="1">
      <alignment horizontal="center" vertical="top" wrapText="1"/>
    </xf>
    <xf numFmtId="10" fontId="8" fillId="48" borderId="17" xfId="1435" applyNumberFormat="1" applyFont="1" applyFill="1" applyBorder="1" applyAlignment="1">
      <alignment horizontal="center" vertical="top" wrapText="1"/>
    </xf>
    <xf numFmtId="0" fontId="23" fillId="44" borderId="33" xfId="1435" applyFont="1" applyFill="1" applyBorder="1" applyAlignment="1">
      <alignment horizontal="centerContinuous"/>
    </xf>
    <xf numFmtId="0" fontId="23" fillId="44" borderId="23" xfId="1435" applyFont="1" applyFill="1" applyBorder="1"/>
    <xf numFmtId="0" fontId="23" fillId="44" borderId="33" xfId="1435" applyFont="1" applyFill="1" applyBorder="1" applyAlignment="1">
      <alignment horizontal="center"/>
    </xf>
    <xf numFmtId="0" fontId="23" fillId="44" borderId="17" xfId="1435" applyFont="1" applyFill="1" applyBorder="1" applyAlignment="1">
      <alignment horizontal="center"/>
    </xf>
    <xf numFmtId="0" fontId="23" fillId="44" borderId="25" xfId="1435" applyFont="1" applyFill="1" applyBorder="1"/>
    <xf numFmtId="4" fontId="7" fillId="48" borderId="17" xfId="1435" applyNumberFormat="1" applyFont="1" applyFill="1" applyBorder="1" applyAlignment="1">
      <alignment horizontal="center" wrapText="1"/>
    </xf>
    <xf numFmtId="10" fontId="8" fillId="48" borderId="17" xfId="1435" applyNumberFormat="1" applyFont="1" applyFill="1" applyBorder="1" applyAlignment="1">
      <alignment horizontal="center" wrapText="1"/>
    </xf>
    <xf numFmtId="3" fontId="8" fillId="48" borderId="17" xfId="1435" applyNumberFormat="1" applyFont="1" applyFill="1" applyBorder="1" applyAlignment="1">
      <alignment horizontal="center" wrapText="1"/>
    </xf>
    <xf numFmtId="10" fontId="7" fillId="44" borderId="17" xfId="1435" applyNumberFormat="1" applyFont="1" applyFill="1" applyBorder="1" applyAlignment="1">
      <alignment horizontal="center" wrapText="1"/>
    </xf>
    <xf numFmtId="4" fontId="7" fillId="44" borderId="17" xfId="1435" applyNumberFormat="1" applyFont="1" applyFill="1" applyBorder="1" applyAlignment="1">
      <alignment horizontal="center" wrapText="1"/>
    </xf>
    <xf numFmtId="3" fontId="8" fillId="44" borderId="17" xfId="1435" applyNumberFormat="1" applyFont="1" applyFill="1" applyBorder="1" applyAlignment="1">
      <alignment horizontal="center" wrapText="1"/>
    </xf>
    <xf numFmtId="0" fontId="10" fillId="44" borderId="0" xfId="1435" applyFont="1" applyFill="1"/>
    <xf numFmtId="10" fontId="1" fillId="0" borderId="0" xfId="1435" applyNumberFormat="1" applyFont="1"/>
    <xf numFmtId="0" fontId="1" fillId="48" borderId="0" xfId="1435" applyFont="1" applyFill="1"/>
    <xf numFmtId="4" fontId="8" fillId="48" borderId="17" xfId="1435" applyNumberFormat="1" applyFont="1" applyFill="1" applyBorder="1" applyAlignment="1">
      <alignment horizontal="center" wrapText="1"/>
    </xf>
    <xf numFmtId="0" fontId="8" fillId="0" borderId="23" xfId="1435" applyFont="1" applyBorder="1" applyAlignment="1">
      <alignment horizontal="center" wrapText="1"/>
    </xf>
    <xf numFmtId="0" fontId="13" fillId="44" borderId="17" xfId="1435" applyFont="1" applyFill="1" applyBorder="1" applyAlignment="1">
      <alignment horizontal="center" vertical="top" wrapText="1"/>
    </xf>
    <xf numFmtId="0" fontId="13" fillId="46" borderId="17" xfId="1435" applyFont="1" applyFill="1" applyBorder="1" applyAlignment="1">
      <alignment horizontal="center" vertical="top" wrapText="1"/>
    </xf>
    <xf numFmtId="10" fontId="8" fillId="44" borderId="0" xfId="1435" applyNumberFormat="1" applyFont="1" applyFill="1" applyBorder="1" applyAlignment="1">
      <alignment horizontal="center" wrapText="1"/>
    </xf>
    <xf numFmtId="3" fontId="69" fillId="49" borderId="17" xfId="1435" applyNumberFormat="1" applyFont="1" applyFill="1" applyBorder="1" applyAlignment="1">
      <alignment horizontal="center" wrapText="1"/>
    </xf>
    <xf numFmtId="169" fontId="148" fillId="53" borderId="17" xfId="1212" applyNumberFormat="1" applyFont="1" applyFill="1" applyBorder="1" applyAlignment="1">
      <alignment horizontal="center"/>
    </xf>
    <xf numFmtId="0" fontId="8" fillId="0" borderId="17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 wrapText="1"/>
    </xf>
    <xf numFmtId="199" fontId="8" fillId="0" borderId="66" xfId="0" applyNumberFormat="1" applyFont="1" applyBorder="1" applyAlignment="1">
      <alignment horizontal="left" vertical="center" wrapText="1" indent="1"/>
    </xf>
    <xf numFmtId="0" fontId="11" fillId="0" borderId="66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left" vertical="center" wrapText="1" indent="1"/>
    </xf>
    <xf numFmtId="0" fontId="8" fillId="0" borderId="66" xfId="0" applyFont="1" applyBorder="1" applyAlignment="1">
      <alignment horizontal="left" vertical="center" indent="1"/>
    </xf>
    <xf numFmtId="173" fontId="8" fillId="54" borderId="66" xfId="1217" applyNumberFormat="1" applyFont="1" applyFill="1" applyBorder="1" applyAlignment="1">
      <alignment horizontal="center" vertical="top"/>
    </xf>
    <xf numFmtId="0" fontId="8" fillId="63" borderId="0" xfId="0" applyFont="1" applyFill="1"/>
    <xf numFmtId="216" fontId="8" fillId="0" borderId="0" xfId="1427" applyNumberFormat="1" applyFont="1"/>
    <xf numFmtId="216" fontId="265" fillId="63" borderId="0" xfId="1427" applyNumberFormat="1" applyFont="1" applyFill="1"/>
    <xf numFmtId="0" fontId="10" fillId="46" borderId="0" xfId="1434" applyFont="1" applyFill="1" applyAlignment="1"/>
    <xf numFmtId="0" fontId="176" fillId="0" borderId="0" xfId="1434" applyFont="1" applyAlignment="1"/>
    <xf numFmtId="168" fontId="10" fillId="0" borderId="0" xfId="1434" applyNumberFormat="1" applyFont="1"/>
    <xf numFmtId="0" fontId="102" fillId="0" borderId="0" xfId="1434" applyFont="1"/>
    <xf numFmtId="0" fontId="125" fillId="0" borderId="0" xfId="1434" applyFont="1"/>
    <xf numFmtId="0" fontId="10" fillId="0" borderId="0" xfId="1434" applyFont="1"/>
    <xf numFmtId="168" fontId="48" fillId="0" borderId="0" xfId="1434" applyNumberFormat="1" applyFont="1" applyAlignment="1">
      <alignment horizontal="right"/>
    </xf>
    <xf numFmtId="173" fontId="8" fillId="54" borderId="66" xfId="1217" applyNumberFormat="1" applyFont="1" applyFill="1" applyBorder="1" applyAlignment="1">
      <alignment horizontal="center" vertical="center"/>
    </xf>
    <xf numFmtId="0" fontId="11" fillId="53" borderId="66" xfId="0" applyFont="1" applyFill="1" applyBorder="1" applyAlignment="1">
      <alignment horizontal="center" vertical="center" wrapText="1"/>
    </xf>
    <xf numFmtId="0" fontId="8" fillId="53" borderId="66" xfId="0" applyFont="1" applyFill="1" applyBorder="1"/>
    <xf numFmtId="0" fontId="8" fillId="53" borderId="66" xfId="0" applyFont="1" applyFill="1" applyBorder="1" applyAlignment="1">
      <alignment horizontal="center"/>
    </xf>
    <xf numFmtId="194" fontId="8" fillId="54" borderId="66" xfId="1217" applyNumberFormat="1" applyFont="1" applyFill="1" applyBorder="1" applyAlignment="1">
      <alignment horizontal="center" vertical="top"/>
    </xf>
    <xf numFmtId="194" fontId="13" fillId="54" borderId="66" xfId="1217" applyNumberFormat="1" applyFont="1" applyFill="1" applyBorder="1" applyAlignment="1">
      <alignment horizontal="center" vertical="top"/>
    </xf>
    <xf numFmtId="0" fontId="8" fillId="53" borderId="66" xfId="0" applyFont="1" applyFill="1" applyBorder="1" applyAlignment="1"/>
    <xf numFmtId="194" fontId="8" fillId="54" borderId="66" xfId="1217" applyNumberFormat="1" applyFont="1" applyFill="1" applyBorder="1" applyAlignment="1">
      <alignment horizontal="center"/>
    </xf>
    <xf numFmtId="0" fontId="8" fillId="54" borderId="66" xfId="0" applyFont="1" applyFill="1" applyBorder="1" applyAlignment="1">
      <alignment horizontal="center" vertical="center" wrapText="1"/>
    </xf>
    <xf numFmtId="0" fontId="148" fillId="0" borderId="22" xfId="0" applyFont="1" applyBorder="1" applyAlignment="1">
      <alignment horizontal="center" vertical="center" wrapText="1"/>
    </xf>
    <xf numFmtId="0" fontId="148" fillId="0" borderId="22" xfId="0" applyNumberFormat="1" applyFont="1" applyBorder="1" applyAlignment="1">
      <alignment horizontal="center" vertical="center" wrapText="1"/>
    </xf>
    <xf numFmtId="0" fontId="0" fillId="0" borderId="0" xfId="0"/>
    <xf numFmtId="0" fontId="279" fillId="57" borderId="0" xfId="1176" applyFont="1" applyFill="1"/>
    <xf numFmtId="4" fontId="267" fillId="0" borderId="17" xfId="0" applyNumberFormat="1" applyFont="1" applyFill="1" applyBorder="1" applyAlignment="1">
      <alignment horizontal="center"/>
    </xf>
    <xf numFmtId="0" fontId="0" fillId="53" borderId="6" xfId="0" applyFont="1" applyFill="1" applyBorder="1" applyAlignment="1">
      <alignment horizontal="center" vertical="top"/>
    </xf>
    <xf numFmtId="0" fontId="0" fillId="53" borderId="23" xfId="0" applyFill="1" applyBorder="1" applyAlignment="1">
      <alignment horizontal="right"/>
    </xf>
    <xf numFmtId="198" fontId="8" fillId="64" borderId="66" xfId="1217" applyNumberFormat="1" applyFont="1" applyFill="1" applyBorder="1" applyAlignment="1">
      <alignment horizontal="center" vertical="top"/>
    </xf>
    <xf numFmtId="0" fontId="8" fillId="55" borderId="66" xfId="0" applyFont="1" applyFill="1" applyBorder="1" applyAlignment="1">
      <alignment horizontal="center" vertical="center" wrapText="1"/>
    </xf>
    <xf numFmtId="0" fontId="8" fillId="64" borderId="66" xfId="0" applyFont="1" applyFill="1" applyBorder="1" applyAlignment="1">
      <alignment horizontal="center" vertical="center" wrapText="1"/>
    </xf>
    <xf numFmtId="0" fontId="264" fillId="55" borderId="66" xfId="0" applyFont="1" applyFill="1" applyBorder="1" applyAlignment="1">
      <alignment horizontal="center" vertical="center" wrapText="1"/>
    </xf>
    <xf numFmtId="0" fontId="8" fillId="53" borderId="68" xfId="0" applyFont="1" applyFill="1" applyBorder="1" applyAlignment="1">
      <alignment horizontal="left" vertical="center" indent="7"/>
    </xf>
    <xf numFmtId="171" fontId="148" fillId="55" borderId="17" xfId="0" applyNumberFormat="1" applyFont="1" applyFill="1" applyBorder="1" applyAlignment="1">
      <alignment horizontal="center"/>
    </xf>
    <xf numFmtId="171" fontId="149" fillId="55" borderId="17" xfId="1212" applyNumberFormat="1" applyFont="1" applyFill="1" applyBorder="1" applyAlignment="1">
      <alignment horizontal="center"/>
    </xf>
    <xf numFmtId="4" fontId="0" fillId="53" borderId="17" xfId="0" applyNumberFormat="1" applyFont="1" applyFill="1" applyBorder="1"/>
    <xf numFmtId="0" fontId="65" fillId="53" borderId="17" xfId="0" applyFont="1" applyFill="1" applyBorder="1" applyAlignment="1">
      <alignment horizontal="right"/>
    </xf>
    <xf numFmtId="0" fontId="65" fillId="53" borderId="33" xfId="0" applyFont="1" applyFill="1" applyBorder="1"/>
    <xf numFmtId="0" fontId="65" fillId="53" borderId="6" xfId="0" applyFont="1" applyFill="1" applyBorder="1"/>
    <xf numFmtId="4" fontId="65" fillId="56" borderId="17" xfId="0" applyNumberFormat="1" applyFont="1" applyFill="1" applyBorder="1"/>
    <xf numFmtId="0" fontId="280" fillId="56" borderId="33" xfId="0" applyFont="1" applyFill="1" applyBorder="1" applyAlignment="1">
      <alignment horizontal="centerContinuous"/>
    </xf>
    <xf numFmtId="0" fontId="0" fillId="56" borderId="6" xfId="0" applyFont="1" applyFill="1" applyBorder="1" applyAlignment="1">
      <alignment horizontal="centerContinuous" vertical="top"/>
    </xf>
    <xf numFmtId="0" fontId="65" fillId="53" borderId="33" xfId="0" applyFont="1" applyFill="1" applyBorder="1" applyAlignment="1">
      <alignment horizontal="left"/>
    </xf>
    <xf numFmtId="0" fontId="0" fillId="53" borderId="33" xfId="0" applyFont="1" applyFill="1" applyBorder="1"/>
    <xf numFmtId="0" fontId="266" fillId="53" borderId="0" xfId="0" applyFont="1" applyFill="1"/>
    <xf numFmtId="0" fontId="65" fillId="53" borderId="23" xfId="0" applyFont="1" applyFill="1" applyBorder="1" applyAlignment="1">
      <alignment horizontal="right"/>
    </xf>
    <xf numFmtId="4" fontId="0" fillId="56" borderId="23" xfId="0" applyNumberFormat="1" applyFont="1" applyFill="1" applyBorder="1"/>
    <xf numFmtId="4" fontId="65" fillId="56" borderId="22" xfId="0" applyNumberFormat="1" applyFont="1" applyFill="1" applyBorder="1"/>
    <xf numFmtId="4" fontId="65" fillId="59" borderId="17" xfId="0" applyNumberFormat="1" applyFont="1" applyFill="1" applyBorder="1"/>
    <xf numFmtId="0" fontId="65" fillId="53" borderId="22" xfId="0" applyFont="1" applyFill="1" applyBorder="1" applyAlignment="1">
      <alignment horizontal="right"/>
    </xf>
    <xf numFmtId="0" fontId="65" fillId="53" borderId="28" xfId="0" applyFont="1" applyFill="1" applyBorder="1"/>
    <xf numFmtId="0" fontId="0" fillId="55" borderId="0" xfId="0" applyFont="1" applyFill="1"/>
    <xf numFmtId="4" fontId="0" fillId="55" borderId="0" xfId="0" applyNumberFormat="1" applyFont="1" applyFill="1"/>
    <xf numFmtId="0" fontId="0" fillId="55" borderId="0" xfId="0" applyFill="1"/>
    <xf numFmtId="0" fontId="65" fillId="55" borderId="0" xfId="0" applyFont="1" applyFill="1"/>
    <xf numFmtId="164" fontId="0" fillId="55" borderId="0" xfId="0" applyNumberFormat="1" applyFont="1" applyFill="1"/>
    <xf numFmtId="0" fontId="148" fillId="55" borderId="0" xfId="1434" applyFont="1" applyFill="1"/>
    <xf numFmtId="0" fontId="148" fillId="55" borderId="0" xfId="0" applyFont="1" applyFill="1"/>
    <xf numFmtId="0" fontId="102" fillId="55" borderId="0" xfId="0" applyFont="1" applyFill="1"/>
    <xf numFmtId="2" fontId="8" fillId="0" borderId="0" xfId="0" applyNumberFormat="1" applyFont="1" applyAlignment="1">
      <alignment horizontal="centerContinuous"/>
    </xf>
    <xf numFmtId="168" fontId="264" fillId="53" borderId="66" xfId="0" applyNumberFormat="1" applyFont="1" applyFill="1" applyBorder="1" applyAlignment="1">
      <alignment horizontal="center"/>
    </xf>
    <xf numFmtId="0" fontId="264" fillId="53" borderId="67" xfId="0" applyFont="1" applyFill="1" applyBorder="1" applyAlignment="1">
      <alignment horizontal="center"/>
    </xf>
    <xf numFmtId="0" fontId="264" fillId="53" borderId="66" xfId="0" applyFont="1" applyFill="1" applyBorder="1" applyAlignment="1">
      <alignment horizontal="center"/>
    </xf>
    <xf numFmtId="194" fontId="264" fillId="54" borderId="66" xfId="1217" applyNumberFormat="1" applyFont="1" applyFill="1" applyBorder="1" applyAlignment="1">
      <alignment horizontal="center"/>
    </xf>
    <xf numFmtId="0" fontId="48" fillId="53" borderId="0" xfId="0" quotePrefix="1" applyFont="1" applyFill="1" applyAlignment="1">
      <alignment horizontal="centerContinuous"/>
    </xf>
    <xf numFmtId="0" fontId="13" fillId="53" borderId="0" xfId="0" applyFont="1" applyFill="1" applyAlignment="1">
      <alignment horizontal="right"/>
    </xf>
    <xf numFmtId="0" fontId="15" fillId="53" borderId="0" xfId="0" applyFont="1" applyFill="1" applyAlignment="1">
      <alignment horizontal="center"/>
    </xf>
    <xf numFmtId="0" fontId="16" fillId="53" borderId="0" xfId="0" applyFont="1" applyFill="1" applyAlignment="1">
      <alignment horizontal="center"/>
    </xf>
    <xf numFmtId="0" fontId="15" fillId="53" borderId="17" xfId="0" applyFont="1" applyFill="1" applyBorder="1"/>
    <xf numFmtId="0" fontId="15" fillId="53" borderId="17" xfId="0" applyFont="1" applyFill="1" applyBorder="1" applyAlignment="1">
      <alignment wrapText="1"/>
    </xf>
    <xf numFmtId="217" fontId="15" fillId="53" borderId="17" xfId="0" applyNumberFormat="1" applyFont="1" applyFill="1" applyBorder="1" applyAlignment="1"/>
    <xf numFmtId="0" fontId="15" fillId="53" borderId="17" xfId="0" quotePrefix="1" applyFont="1" applyFill="1" applyBorder="1" applyAlignment="1">
      <alignment horizontal="left"/>
    </xf>
    <xf numFmtId="0" fontId="15" fillId="53" borderId="23" xfId="0" applyFont="1" applyFill="1" applyBorder="1"/>
    <xf numFmtId="0" fontId="15" fillId="53" borderId="28" xfId="0" applyFont="1" applyFill="1" applyBorder="1" applyAlignment="1">
      <alignment wrapText="1"/>
    </xf>
    <xf numFmtId="198" fontId="15" fillId="53" borderId="23" xfId="1216" applyNumberFormat="1" applyFont="1" applyFill="1" applyBorder="1" applyAlignment="1">
      <alignment horizontal="right" wrapText="1"/>
    </xf>
    <xf numFmtId="0" fontId="15" fillId="53" borderId="22" xfId="0" applyFont="1" applyFill="1" applyBorder="1"/>
    <xf numFmtId="0" fontId="15" fillId="53" borderId="30" xfId="0" applyFont="1" applyFill="1" applyBorder="1"/>
    <xf numFmtId="173" fontId="15" fillId="53" borderId="22" xfId="1216" applyNumberFormat="1" applyFont="1" applyFill="1" applyBorder="1" applyAlignment="1">
      <alignment horizontal="right" wrapText="1"/>
    </xf>
    <xf numFmtId="0" fontId="15" fillId="53" borderId="0" xfId="0" quotePrefix="1" applyFont="1" applyFill="1" applyBorder="1" applyAlignment="1">
      <alignment horizontal="left" wrapText="1"/>
    </xf>
    <xf numFmtId="0" fontId="15" fillId="53" borderId="20" xfId="0" applyFont="1" applyFill="1" applyBorder="1" applyAlignment="1"/>
    <xf numFmtId="0" fontId="15" fillId="53" borderId="17" xfId="0" quotePrefix="1" applyFont="1" applyFill="1" applyBorder="1" applyAlignment="1">
      <alignment horizontal="left" wrapText="1"/>
    </xf>
    <xf numFmtId="0" fontId="15" fillId="53" borderId="28" xfId="0" applyFont="1" applyFill="1" applyBorder="1"/>
    <xf numFmtId="0" fontId="15" fillId="53" borderId="27" xfId="0" applyFont="1" applyFill="1" applyBorder="1" applyAlignment="1"/>
    <xf numFmtId="165" fontId="15" fillId="53" borderId="29" xfId="0" applyNumberFormat="1" applyFont="1" applyFill="1" applyBorder="1" applyAlignment="1"/>
    <xf numFmtId="165" fontId="15" fillId="53" borderId="23" xfId="0" applyNumberFormat="1" applyFont="1" applyFill="1" applyBorder="1" applyAlignment="1"/>
    <xf numFmtId="0" fontId="10" fillId="53" borderId="0" xfId="1181" applyFont="1" applyFill="1" applyAlignment="1"/>
    <xf numFmtId="168" fontId="10" fillId="53" borderId="0" xfId="1181" applyNumberFormat="1" applyFont="1" applyFill="1"/>
    <xf numFmtId="0" fontId="120" fillId="53" borderId="0" xfId="1181" applyFont="1" applyFill="1"/>
    <xf numFmtId="0" fontId="10" fillId="53" borderId="0" xfId="1181" applyFont="1" applyFill="1"/>
    <xf numFmtId="165" fontId="10" fillId="53" borderId="0" xfId="1181" applyNumberFormat="1" applyFont="1" applyFill="1"/>
    <xf numFmtId="168" fontId="48" fillId="53" borderId="0" xfId="1181" applyNumberFormat="1" applyFont="1" applyFill="1" applyAlignment="1">
      <alignment horizontal="left"/>
    </xf>
    <xf numFmtId="0" fontId="20" fillId="53" borderId="0" xfId="0" applyFont="1" applyFill="1" applyAlignment="1">
      <alignment horizontal="left"/>
    </xf>
    <xf numFmtId="3" fontId="50" fillId="53" borderId="0" xfId="0" applyNumberFormat="1" applyFont="1" applyFill="1" applyBorder="1" applyAlignment="1">
      <alignment horizontal="left"/>
    </xf>
    <xf numFmtId="0" fontId="16" fillId="53" borderId="0" xfId="0" applyFont="1" applyFill="1"/>
    <xf numFmtId="0" fontId="13" fillId="53" borderId="0" xfId="0" quotePrefix="1" applyFont="1" applyFill="1" applyAlignment="1">
      <alignment horizontal="centerContinuous"/>
    </xf>
    <xf numFmtId="0" fontId="15" fillId="53" borderId="0" xfId="0" quotePrefix="1" applyFont="1" applyFill="1" applyAlignment="1">
      <alignment horizontal="centerContinuous"/>
    </xf>
    <xf numFmtId="0" fontId="15" fillId="53" borderId="24" xfId="0" applyFont="1" applyFill="1" applyBorder="1" applyAlignment="1">
      <alignment horizontal="center"/>
    </xf>
    <xf numFmtId="0" fontId="15" fillId="53" borderId="0" xfId="0" applyFont="1" applyFill="1" applyBorder="1" applyAlignment="1">
      <alignment horizontal="right"/>
    </xf>
    <xf numFmtId="0" fontId="15" fillId="53" borderId="22" xfId="0" applyFont="1" applyFill="1" applyBorder="1" applyAlignment="1">
      <alignment horizontal="center"/>
    </xf>
    <xf numFmtId="0" fontId="52" fillId="53" borderId="17" xfId="0" applyFont="1" applyFill="1" applyBorder="1" applyAlignment="1">
      <alignment horizontal="center"/>
    </xf>
    <xf numFmtId="0" fontId="52" fillId="53" borderId="17" xfId="0" applyFont="1" applyFill="1" applyBorder="1" applyAlignment="1">
      <alignment horizontal="center" wrapText="1"/>
    </xf>
    <xf numFmtId="0" fontId="52" fillId="53" borderId="0" xfId="0" applyFont="1" applyFill="1" applyAlignment="1">
      <alignment horizontal="center"/>
    </xf>
    <xf numFmtId="0" fontId="15" fillId="53" borderId="22" xfId="0" quotePrefix="1" applyFont="1" applyFill="1" applyBorder="1" applyAlignment="1">
      <alignment horizontal="left" wrapText="1"/>
    </xf>
    <xf numFmtId="166" fontId="15" fillId="53" borderId="17" xfId="0" applyNumberFormat="1" applyFont="1" applyFill="1" applyBorder="1" applyAlignment="1"/>
    <xf numFmtId="167" fontId="15" fillId="53" borderId="17" xfId="0" applyNumberFormat="1" applyFont="1" applyFill="1" applyBorder="1" applyAlignment="1"/>
    <xf numFmtId="194" fontId="15" fillId="53" borderId="17" xfId="1216" applyNumberFormat="1" applyFont="1" applyFill="1" applyBorder="1" applyAlignment="1">
      <alignment horizontal="right" wrapText="1"/>
    </xf>
    <xf numFmtId="196" fontId="15" fillId="53" borderId="17" xfId="0" applyNumberFormat="1" applyFont="1" applyFill="1" applyBorder="1" applyAlignment="1"/>
    <xf numFmtId="196" fontId="15" fillId="53" borderId="17" xfId="1216" applyNumberFormat="1" applyFont="1" applyFill="1" applyBorder="1" applyAlignment="1">
      <alignment horizontal="right" wrapText="1"/>
    </xf>
    <xf numFmtId="168" fontId="15" fillId="53" borderId="17" xfId="0" applyNumberFormat="1" applyFont="1" applyFill="1" applyBorder="1" applyAlignment="1"/>
    <xf numFmtId="194" fontId="15" fillId="53" borderId="17" xfId="0" applyNumberFormat="1" applyFont="1" applyFill="1" applyBorder="1" applyAlignment="1"/>
    <xf numFmtId="0" fontId="15" fillId="53" borderId="17" xfId="0" applyFont="1" applyFill="1" applyBorder="1" applyAlignment="1">
      <alignment horizontal="left"/>
    </xf>
    <xf numFmtId="166" fontId="15" fillId="53" borderId="17" xfId="1216" applyNumberFormat="1" applyFont="1" applyFill="1" applyBorder="1" applyAlignment="1">
      <alignment horizontal="right" wrapText="1"/>
    </xf>
    <xf numFmtId="168" fontId="15" fillId="53" borderId="0" xfId="0" applyNumberFormat="1" applyFont="1" applyFill="1"/>
    <xf numFmtId="0" fontId="15" fillId="53" borderId="23" xfId="0" applyFont="1" applyFill="1" applyBorder="1" applyAlignment="1">
      <alignment wrapText="1"/>
    </xf>
    <xf numFmtId="0" fontId="15" fillId="53" borderId="29" xfId="0" applyFont="1" applyFill="1" applyBorder="1" applyAlignment="1">
      <alignment wrapText="1"/>
    </xf>
    <xf numFmtId="1" fontId="15" fillId="53" borderId="29" xfId="0" applyNumberFormat="1" applyFont="1" applyFill="1" applyBorder="1" applyAlignment="1"/>
    <xf numFmtId="1" fontId="15" fillId="53" borderId="23" xfId="0" applyNumberFormat="1" applyFont="1" applyFill="1" applyBorder="1" applyAlignment="1"/>
    <xf numFmtId="0" fontId="15" fillId="53" borderId="20" xfId="0" applyFont="1" applyFill="1" applyBorder="1"/>
    <xf numFmtId="0" fontId="15" fillId="53" borderId="0" xfId="0" applyFont="1" applyFill="1" applyBorder="1" applyAlignment="1">
      <alignment wrapText="1"/>
    </xf>
    <xf numFmtId="1" fontId="15" fillId="53" borderId="0" xfId="0" applyNumberFormat="1" applyFont="1" applyFill="1" applyBorder="1" applyAlignment="1"/>
    <xf numFmtId="1" fontId="15" fillId="53" borderId="20" xfId="0" applyNumberFormat="1" applyFont="1" applyFill="1" applyBorder="1" applyAlignment="1"/>
    <xf numFmtId="0" fontId="15" fillId="53" borderId="0" xfId="0" applyFont="1" applyFill="1" applyBorder="1" applyAlignment="1"/>
    <xf numFmtId="0" fontId="15" fillId="53" borderId="29" xfId="0" applyFont="1" applyFill="1" applyBorder="1"/>
    <xf numFmtId="166" fontId="15" fillId="53" borderId="20" xfId="0" applyNumberFormat="1" applyFont="1" applyFill="1" applyBorder="1" applyAlignment="1"/>
    <xf numFmtId="166" fontId="15" fillId="53" borderId="23" xfId="1216" applyNumberFormat="1" applyFont="1" applyFill="1" applyBorder="1" applyAlignment="1">
      <alignment horizontal="right" wrapText="1"/>
    </xf>
    <xf numFmtId="166" fontId="15" fillId="53" borderId="23" xfId="0" applyNumberFormat="1" applyFont="1" applyFill="1" applyBorder="1" applyAlignment="1"/>
    <xf numFmtId="166" fontId="15" fillId="53" borderId="29" xfId="0" applyNumberFormat="1" applyFont="1" applyFill="1" applyBorder="1" applyAlignment="1"/>
    <xf numFmtId="194" fontId="15" fillId="53" borderId="23" xfId="1216" applyNumberFormat="1" applyFont="1" applyFill="1" applyBorder="1" applyAlignment="1">
      <alignment horizontal="right" wrapText="1"/>
    </xf>
    <xf numFmtId="168" fontId="15" fillId="53" borderId="0" xfId="0" applyNumberFormat="1" applyFont="1" applyFill="1" applyBorder="1" applyAlignment="1"/>
    <xf numFmtId="168" fontId="15" fillId="53" borderId="20" xfId="0" applyNumberFormat="1" applyFont="1" applyFill="1" applyBorder="1" applyAlignment="1"/>
    <xf numFmtId="0" fontId="15" fillId="53" borderId="28" xfId="0" applyFont="1" applyFill="1" applyBorder="1" applyAlignment="1">
      <alignment vertical="top"/>
    </xf>
    <xf numFmtId="0" fontId="15" fillId="53" borderId="28" xfId="0" applyFont="1" applyFill="1" applyBorder="1" applyAlignment="1"/>
    <xf numFmtId="0" fontId="15" fillId="53" borderId="48" xfId="0" applyFont="1" applyFill="1" applyBorder="1"/>
    <xf numFmtId="0" fontId="15" fillId="53" borderId="48" xfId="0" applyFont="1" applyFill="1" applyBorder="1" applyAlignment="1"/>
    <xf numFmtId="0" fontId="15" fillId="53" borderId="30" xfId="0" applyFont="1" applyFill="1" applyBorder="1" applyAlignment="1"/>
    <xf numFmtId="3" fontId="49" fillId="53" borderId="0" xfId="0" applyNumberFormat="1" applyFont="1" applyFill="1" applyBorder="1" applyAlignment="1">
      <alignment horizontal="left"/>
    </xf>
    <xf numFmtId="0" fontId="36" fillId="0" borderId="0" xfId="0" applyFont="1" applyAlignment="1">
      <alignment horizontal="center"/>
    </xf>
    <xf numFmtId="0" fontId="148" fillId="0" borderId="23" xfId="0" applyFont="1" applyBorder="1" applyAlignment="1">
      <alignment horizontal="center" vertical="center" wrapText="1"/>
    </xf>
    <xf numFmtId="0" fontId="148" fillId="0" borderId="20" xfId="0" applyFont="1" applyBorder="1" applyAlignment="1">
      <alignment horizontal="center" vertical="center" wrapText="1"/>
    </xf>
    <xf numFmtId="0" fontId="148" fillId="0" borderId="22" xfId="0" applyFont="1" applyBorder="1" applyAlignment="1">
      <alignment horizontal="center" vertical="center" wrapText="1"/>
    </xf>
    <xf numFmtId="0" fontId="148" fillId="0" borderId="33" xfId="0" applyNumberFormat="1" applyFont="1" applyBorder="1" applyAlignment="1">
      <alignment horizontal="center" vertical="center"/>
    </xf>
    <xf numFmtId="0" fontId="148" fillId="0" borderId="6" xfId="0" applyNumberFormat="1" applyFont="1" applyBorder="1" applyAlignment="1">
      <alignment horizontal="center" vertical="center"/>
    </xf>
    <xf numFmtId="0" fontId="148" fillId="0" borderId="17" xfId="0" applyNumberFormat="1" applyFont="1" applyBorder="1" applyAlignment="1">
      <alignment horizontal="center" vertical="center"/>
    </xf>
    <xf numFmtId="0" fontId="148" fillId="0" borderId="23" xfId="0" applyNumberFormat="1" applyFont="1" applyBorder="1" applyAlignment="1">
      <alignment horizontal="center" vertical="center" wrapText="1"/>
    </xf>
    <xf numFmtId="0" fontId="148" fillId="0" borderId="22" xfId="0" applyNumberFormat="1" applyFont="1" applyBorder="1" applyAlignment="1">
      <alignment horizontal="center" vertical="center" wrapText="1"/>
    </xf>
    <xf numFmtId="0" fontId="0" fillId="53" borderId="33" xfId="0" applyFont="1" applyFill="1" applyBorder="1" applyAlignment="1">
      <alignment horizontal="center" vertical="top"/>
    </xf>
    <xf numFmtId="0" fontId="0" fillId="53" borderId="6" xfId="0" applyFont="1" applyFill="1" applyBorder="1" applyAlignment="1">
      <alignment horizontal="center" vertical="top"/>
    </xf>
    <xf numFmtId="0" fontId="65" fillId="53" borderId="23" xfId="0" applyFont="1" applyFill="1" applyBorder="1" applyAlignment="1">
      <alignment horizontal="right"/>
    </xf>
    <xf numFmtId="0" fontId="65" fillId="53" borderId="22" xfId="0" applyFont="1" applyFill="1" applyBorder="1" applyAlignment="1">
      <alignment horizontal="right"/>
    </xf>
    <xf numFmtId="0" fontId="8" fillId="0" borderId="23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/>
    </xf>
    <xf numFmtId="0" fontId="11" fillId="0" borderId="66" xfId="0" applyFont="1" applyBorder="1" applyAlignment="1">
      <alignment horizontal="left" vertical="center" wrapText="1" indent="1"/>
    </xf>
    <xf numFmtId="0" fontId="11" fillId="0" borderId="66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left" vertical="center" indent="1"/>
    </xf>
    <xf numFmtId="0" fontId="8" fillId="0" borderId="66" xfId="0" applyFont="1" applyBorder="1" applyAlignment="1">
      <alignment horizontal="left" vertical="center" indent="7"/>
    </xf>
    <xf numFmtId="0" fontId="8" fillId="0" borderId="66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left" vertical="center" wrapText="1" indent="1"/>
    </xf>
    <xf numFmtId="199" fontId="8" fillId="0" borderId="66" xfId="0" applyNumberFormat="1" applyFont="1" applyBorder="1" applyAlignment="1">
      <alignment horizontal="left" vertical="center" wrapText="1" indent="1"/>
    </xf>
    <xf numFmtId="0" fontId="8" fillId="0" borderId="67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199" fontId="8" fillId="0" borderId="66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8" fillId="58" borderId="0" xfId="0" applyFont="1" applyFill="1" applyAlignment="1">
      <alignment horizontal="justify" vertical="center" wrapText="1"/>
    </xf>
    <xf numFmtId="0" fontId="8" fillId="0" borderId="67" xfId="0" applyFont="1" applyBorder="1" applyAlignment="1">
      <alignment horizontal="center" vertical="center" wrapText="1"/>
    </xf>
    <xf numFmtId="2" fontId="8" fillId="0" borderId="22" xfId="0" applyNumberFormat="1" applyFont="1" applyBorder="1" applyAlignment="1">
      <alignment horizontal="center" vertical="center" wrapText="1"/>
    </xf>
    <xf numFmtId="0" fontId="15" fillId="53" borderId="33" xfId="0" applyFont="1" applyFill="1" applyBorder="1" applyAlignment="1">
      <alignment horizontal="center"/>
    </xf>
    <xf numFmtId="0" fontId="15" fillId="53" borderId="6" xfId="0" applyFont="1" applyFill="1" applyBorder="1" applyAlignment="1">
      <alignment horizontal="center"/>
    </xf>
    <xf numFmtId="0" fontId="15" fillId="53" borderId="26" xfId="0" applyFont="1" applyFill="1" applyBorder="1" applyAlignment="1">
      <alignment horizontal="center"/>
    </xf>
    <xf numFmtId="0" fontId="15" fillId="53" borderId="30" xfId="0" applyFont="1" applyFill="1" applyBorder="1" applyAlignment="1">
      <alignment horizontal="center"/>
    </xf>
    <xf numFmtId="0" fontId="15" fillId="53" borderId="24" xfId="0" applyFont="1" applyFill="1" applyBorder="1" applyAlignment="1">
      <alignment horizontal="center"/>
    </xf>
    <xf numFmtId="0" fontId="15" fillId="53" borderId="25" xfId="0" applyFont="1" applyFill="1" applyBorder="1" applyAlignment="1">
      <alignment horizontal="center"/>
    </xf>
    <xf numFmtId="0" fontId="45" fillId="0" borderId="0" xfId="0" applyFont="1" applyBorder="1" applyAlignment="1">
      <alignment horizont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45" fillId="0" borderId="0" xfId="0" applyFont="1" applyAlignment="1">
      <alignment horizontal="center" wrapText="1"/>
    </xf>
    <xf numFmtId="0" fontId="160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/>
    <xf numFmtId="0" fontId="0" fillId="0" borderId="0" xfId="0" applyBorder="1" applyAlignment="1">
      <alignment horizontal="center" wrapText="1"/>
    </xf>
    <xf numFmtId="0" fontId="0" fillId="0" borderId="17" xfId="0" applyBorder="1" applyAlignment="1">
      <alignment horizontal="center" vertical="top" wrapText="1"/>
    </xf>
    <xf numFmtId="0" fontId="0" fillId="0" borderId="17" xfId="0" applyBorder="1"/>
    <xf numFmtId="0" fontId="258" fillId="0" borderId="0" xfId="0" applyFont="1" applyAlignment="1">
      <alignment horizontal="center" vertical="top" wrapText="1"/>
    </xf>
    <xf numFmtId="49" fontId="8" fillId="46" borderId="23" xfId="1211" applyNumberFormat="1" applyFont="1" applyFill="1" applyBorder="1" applyAlignment="1">
      <alignment horizontal="center" vertical="center" wrapText="1"/>
    </xf>
    <xf numFmtId="49" fontId="8" fillId="46" borderId="22" xfId="1211" applyNumberFormat="1" applyFont="1" applyFill="1" applyBorder="1" applyAlignment="1">
      <alignment horizontal="center" vertical="center" wrapText="1"/>
    </xf>
    <xf numFmtId="0" fontId="8" fillId="46" borderId="23" xfId="1211" applyFont="1" applyFill="1" applyBorder="1" applyAlignment="1">
      <alignment horizontal="center" vertical="center" wrapText="1"/>
    </xf>
    <xf numFmtId="0" fontId="8" fillId="46" borderId="22" xfId="1211" applyFont="1" applyFill="1" applyBorder="1" applyAlignment="1">
      <alignment horizontal="center" vertical="center" wrapText="1"/>
    </xf>
    <xf numFmtId="4" fontId="50" fillId="46" borderId="23" xfId="1211" applyNumberFormat="1" applyFont="1" applyFill="1" applyBorder="1" applyAlignment="1">
      <alignment vertical="center" wrapText="1"/>
    </xf>
    <xf numFmtId="4" fontId="50" fillId="46" borderId="22" xfId="1211" applyNumberFormat="1" applyFont="1" applyFill="1" applyBorder="1" applyAlignment="1">
      <alignment vertical="center" wrapText="1"/>
    </xf>
    <xf numFmtId="0" fontId="10" fillId="46" borderId="23" xfId="1211" applyFont="1" applyFill="1" applyBorder="1" applyAlignment="1">
      <alignment horizontal="center" vertical="center" wrapText="1"/>
    </xf>
    <xf numFmtId="0" fontId="10" fillId="46" borderId="22" xfId="1211" applyFont="1" applyFill="1" applyBorder="1" applyAlignment="1">
      <alignment horizontal="center" vertical="center" wrapText="1"/>
    </xf>
    <xf numFmtId="0" fontId="10" fillId="46" borderId="20" xfId="1211" applyFont="1" applyFill="1" applyBorder="1" applyAlignment="1">
      <alignment horizontal="center" vertical="center" wrapText="1"/>
    </xf>
    <xf numFmtId="0" fontId="50" fillId="46" borderId="23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50" fillId="46" borderId="23" xfId="1211" applyFont="1" applyFill="1" applyBorder="1" applyAlignment="1">
      <alignment horizontal="center" vertical="center" wrapText="1"/>
    </xf>
    <xf numFmtId="0" fontId="50" fillId="46" borderId="20" xfId="1211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174" fillId="46" borderId="23" xfId="1211" applyFont="1" applyFill="1" applyBorder="1" applyAlignment="1">
      <alignment horizontal="center" vertical="center" wrapText="1"/>
    </xf>
    <xf numFmtId="0" fontId="174" fillId="46" borderId="20" xfId="1211" applyFont="1" applyFill="1" applyBorder="1" applyAlignment="1">
      <alignment horizontal="center" vertical="center" wrapText="1"/>
    </xf>
    <xf numFmtId="0" fontId="174" fillId="46" borderId="22" xfId="1211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top"/>
    </xf>
    <xf numFmtId="0" fontId="10" fillId="0" borderId="20" xfId="0" applyFont="1" applyBorder="1" applyAlignment="1">
      <alignment horizontal="center" vertical="top"/>
    </xf>
    <xf numFmtId="0" fontId="10" fillId="0" borderId="22" xfId="0" applyFont="1" applyBorder="1" applyAlignment="1">
      <alignment horizontal="center" vertical="top"/>
    </xf>
    <xf numFmtId="0" fontId="10" fillId="0" borderId="23" xfId="0" applyFont="1" applyBorder="1" applyAlignment="1">
      <alignment horizontal="center" vertical="top" wrapText="1"/>
    </xf>
    <xf numFmtId="0" fontId="10" fillId="0" borderId="20" xfId="0" applyFont="1" applyBorder="1" applyAlignment="1">
      <alignment horizontal="center" vertical="top" wrapText="1"/>
    </xf>
    <xf numFmtId="0" fontId="10" fillId="0" borderId="22" xfId="0" applyFont="1" applyBorder="1" applyAlignment="1">
      <alignment horizontal="center" vertical="top" wrapText="1"/>
    </xf>
    <xf numFmtId="0" fontId="9" fillId="0" borderId="0" xfId="0" quotePrefix="1" applyFont="1" applyAlignment="1">
      <alignment horizontal="left" vertical="center" wrapText="1"/>
    </xf>
    <xf numFmtId="0" fontId="9" fillId="0" borderId="0" xfId="0" applyFont="1" applyAlignment="1">
      <alignment horizontal="justify" vertical="center" wrapText="1"/>
    </xf>
    <xf numFmtId="0" fontId="8" fillId="0" borderId="23" xfId="1208" applyFont="1" applyBorder="1" applyAlignment="1">
      <alignment horizontal="center" vertical="top" wrapText="1"/>
    </xf>
    <xf numFmtId="0" fontId="261" fillId="0" borderId="20" xfId="1208" applyBorder="1" applyAlignment="1">
      <alignment horizontal="center" vertical="top" wrapText="1"/>
    </xf>
    <xf numFmtId="0" fontId="261" fillId="0" borderId="22" xfId="1208" applyBorder="1" applyAlignment="1">
      <alignment horizontal="center" vertical="top" wrapText="1"/>
    </xf>
    <xf numFmtId="0" fontId="8" fillId="56" borderId="23" xfId="1208" applyFont="1" applyFill="1" applyBorder="1" applyAlignment="1">
      <alignment horizontal="center" vertical="top" wrapText="1"/>
    </xf>
    <xf numFmtId="0" fontId="261" fillId="56" borderId="20" xfId="1208" applyFill="1" applyBorder="1" applyAlignment="1">
      <alignment horizontal="center" vertical="top" wrapText="1"/>
    </xf>
    <xf numFmtId="0" fontId="261" fillId="56" borderId="22" xfId="1208" applyFill="1" applyBorder="1" applyAlignment="1">
      <alignment horizontal="center" vertical="top" wrapText="1"/>
    </xf>
    <xf numFmtId="0" fontId="8" fillId="48" borderId="23" xfId="1208" applyFont="1" applyFill="1" applyBorder="1" applyAlignment="1">
      <alignment horizontal="center" vertical="top" wrapText="1"/>
    </xf>
    <xf numFmtId="0" fontId="8" fillId="0" borderId="23" xfId="0" applyFont="1" applyBorder="1" applyAlignment="1">
      <alignment horizontal="center" vertical="top" wrapText="1"/>
    </xf>
    <xf numFmtId="0" fontId="8" fillId="0" borderId="22" xfId="0" applyFont="1" applyBorder="1" applyAlignment="1">
      <alignment horizontal="center" vertical="top" wrapText="1"/>
    </xf>
    <xf numFmtId="0" fontId="48" fillId="0" borderId="16" xfId="0" applyFont="1" applyBorder="1" applyAlignment="1">
      <alignment horizontal="center" vertical="center"/>
    </xf>
    <xf numFmtId="0" fontId="48" fillId="0" borderId="31" xfId="0" applyFont="1" applyBorder="1" applyAlignment="1">
      <alignment horizontal="center" vertical="center"/>
    </xf>
    <xf numFmtId="0" fontId="48" fillId="46" borderId="70" xfId="0" applyFont="1" applyFill="1" applyBorder="1" applyAlignment="1">
      <alignment vertical="center" wrapText="1"/>
    </xf>
    <xf numFmtId="0" fontId="48" fillId="46" borderId="57" xfId="0" applyFont="1" applyFill="1" applyBorder="1" applyAlignment="1">
      <alignment vertical="center" wrapText="1"/>
    </xf>
    <xf numFmtId="0" fontId="0" fillId="46" borderId="57" xfId="0" applyFill="1" applyBorder="1" applyAlignment="1">
      <alignment vertical="center" wrapText="1"/>
    </xf>
    <xf numFmtId="0" fontId="0" fillId="46" borderId="30" xfId="0" applyFill="1" applyBorder="1" applyAlignment="1">
      <alignment vertical="center" wrapText="1"/>
    </xf>
    <xf numFmtId="0" fontId="0" fillId="46" borderId="24" xfId="0" applyFill="1" applyBorder="1" applyAlignment="1">
      <alignment vertical="center" wrapText="1"/>
    </xf>
    <xf numFmtId="0" fontId="48" fillId="0" borderId="53" xfId="0" applyFont="1" applyBorder="1" applyAlignment="1">
      <alignment horizontal="center" vertical="center"/>
    </xf>
    <xf numFmtId="0" fontId="48" fillId="46" borderId="104" xfId="0" applyFont="1" applyFill="1" applyBorder="1" applyAlignment="1">
      <alignment vertical="center" wrapText="1"/>
    </xf>
    <xf numFmtId="0" fontId="0" fillId="46" borderId="22" xfId="0" applyFill="1" applyBorder="1" applyAlignment="1">
      <alignment wrapText="1"/>
    </xf>
    <xf numFmtId="0" fontId="8" fillId="0" borderId="20" xfId="0" applyFont="1" applyBorder="1" applyAlignment="1">
      <alignment horizontal="center" vertical="top" wrapText="1"/>
    </xf>
    <xf numFmtId="0" fontId="8" fillId="0" borderId="23" xfId="0" applyFont="1" applyBorder="1" applyAlignment="1">
      <alignment horizontal="center" wrapText="1"/>
    </xf>
    <xf numFmtId="0" fontId="8" fillId="0" borderId="22" xfId="0" applyFont="1" applyBorder="1" applyAlignment="1">
      <alignment horizontal="center" wrapText="1"/>
    </xf>
    <xf numFmtId="0" fontId="10" fillId="0" borderId="23" xfId="0" applyFont="1" applyBorder="1" applyAlignment="1">
      <alignment horizontal="center" wrapText="1"/>
    </xf>
    <xf numFmtId="0" fontId="10" fillId="0" borderId="22" xfId="0" applyFont="1" applyBorder="1" applyAlignment="1">
      <alignment horizontal="center" wrapText="1"/>
    </xf>
    <xf numFmtId="0" fontId="10" fillId="0" borderId="17" xfId="0" applyFont="1" applyBorder="1" applyAlignment="1">
      <alignment horizontal="center" vertical="top" wrapText="1"/>
    </xf>
    <xf numFmtId="0" fontId="10" fillId="0" borderId="16" xfId="0" applyFont="1" applyBorder="1" applyAlignment="1"/>
    <xf numFmtId="0" fontId="10" fillId="0" borderId="53" xfId="0" applyFont="1" applyBorder="1" applyAlignment="1"/>
    <xf numFmtId="0" fontId="10" fillId="0" borderId="31" xfId="0" applyFont="1" applyBorder="1" applyAlignment="1"/>
    <xf numFmtId="0" fontId="10" fillId="0" borderId="104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0" fontId="0" fillId="0" borderId="57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4" xfId="0" applyBorder="1" applyAlignment="1">
      <alignment vertical="center"/>
    </xf>
    <xf numFmtId="170" fontId="230" fillId="33" borderId="17" xfId="0" applyNumberFormat="1" applyFont="1" applyFill="1" applyBorder="1" applyAlignment="1">
      <alignment horizontal="center" wrapText="1"/>
    </xf>
    <xf numFmtId="0" fontId="179" fillId="33" borderId="17" xfId="0" applyFont="1" applyFill="1" applyBorder="1" applyAlignment="1">
      <alignment horizontal="center" wrapText="1"/>
    </xf>
    <xf numFmtId="0" fontId="179" fillId="33" borderId="17" xfId="0" applyFont="1" applyFill="1" applyBorder="1" applyAlignment="1">
      <alignment wrapText="1"/>
    </xf>
    <xf numFmtId="193" fontId="8" fillId="46" borderId="23" xfId="1216" applyNumberFormat="1" applyFont="1" applyFill="1" applyBorder="1" applyAlignment="1">
      <alignment horizontal="right" vertical="center"/>
    </xf>
    <xf numFmtId="193" fontId="8" fillId="46" borderId="22" xfId="1216" applyNumberFormat="1" applyFont="1" applyFill="1" applyBorder="1" applyAlignment="1">
      <alignment horizontal="right" vertical="center"/>
    </xf>
    <xf numFmtId="10" fontId="8" fillId="44" borderId="43" xfId="0" applyNumberFormat="1" applyFont="1" applyFill="1" applyBorder="1" applyAlignment="1">
      <alignment vertical="center"/>
    </xf>
    <xf numFmtId="170" fontId="9" fillId="33" borderId="17" xfId="0" applyNumberFormat="1" applyFont="1" applyFill="1" applyBorder="1" applyAlignment="1">
      <alignment horizontal="center" wrapText="1"/>
    </xf>
    <xf numFmtId="0" fontId="0" fillId="33" borderId="17" xfId="0" applyFill="1" applyBorder="1" applyAlignment="1">
      <alignment horizontal="center" wrapText="1"/>
    </xf>
    <xf numFmtId="0" fontId="0" fillId="33" borderId="17" xfId="0" applyFill="1" applyBorder="1" applyAlignment="1">
      <alignment wrapText="1"/>
    </xf>
    <xf numFmtId="0" fontId="261" fillId="48" borderId="20" xfId="1208" applyFill="1" applyBorder="1" applyAlignment="1">
      <alignment horizontal="center" vertical="top" wrapText="1"/>
    </xf>
    <xf numFmtId="0" fontId="261" fillId="48" borderId="22" xfId="1208" applyFill="1" applyBorder="1" applyAlignment="1">
      <alignment horizontal="center" vertical="top" wrapText="1"/>
    </xf>
    <xf numFmtId="0" fontId="8" fillId="0" borderId="17" xfId="0" applyFont="1" applyBorder="1" applyAlignment="1">
      <alignment horizontal="center" vertical="center"/>
    </xf>
    <xf numFmtId="0" fontId="36" fillId="2" borderId="102" xfId="1195" applyFont="1" applyFill="1" applyBorder="1" applyAlignment="1" applyProtection="1">
      <alignment horizontal="left" vertical="center" indent="2"/>
    </xf>
    <xf numFmtId="0" fontId="36" fillId="2" borderId="91" xfId="1195" applyFont="1" applyFill="1" applyBorder="1" applyAlignment="1" applyProtection="1">
      <alignment horizontal="left" vertical="center" indent="2"/>
    </xf>
    <xf numFmtId="0" fontId="36" fillId="2" borderId="103" xfId="1195" applyFont="1" applyFill="1" applyBorder="1" applyAlignment="1" applyProtection="1">
      <alignment horizontal="left" vertical="center" indent="2"/>
    </xf>
    <xf numFmtId="0" fontId="36" fillId="2" borderId="95" xfId="1195" applyFont="1" applyFill="1" applyBorder="1" applyAlignment="1" applyProtection="1">
      <alignment horizontal="left" vertical="center" indent="2"/>
    </xf>
    <xf numFmtId="0" fontId="8" fillId="0" borderId="23" xfId="1435" applyFont="1" applyBorder="1" applyAlignment="1">
      <alignment horizontal="center" vertical="top" wrapText="1"/>
    </xf>
    <xf numFmtId="0" fontId="1" fillId="0" borderId="20" xfId="1435" applyBorder="1" applyAlignment="1">
      <alignment horizontal="center" vertical="top" wrapText="1"/>
    </xf>
    <xf numFmtId="0" fontId="1" fillId="0" borderId="22" xfId="1435" applyBorder="1" applyAlignment="1">
      <alignment horizontal="center" vertical="top" wrapText="1"/>
    </xf>
    <xf numFmtId="0" fontId="8" fillId="48" borderId="23" xfId="1435" applyFont="1" applyFill="1" applyBorder="1" applyAlignment="1">
      <alignment horizontal="center" vertical="top" wrapText="1"/>
    </xf>
    <xf numFmtId="0" fontId="1" fillId="0" borderId="22" xfId="1435" applyFont="1" applyBorder="1" applyAlignment="1">
      <alignment horizontal="center" vertical="top" wrapText="1"/>
    </xf>
    <xf numFmtId="0" fontId="1" fillId="0" borderId="20" xfId="1435" applyFont="1" applyBorder="1" applyAlignment="1">
      <alignment horizontal="center" vertical="top" wrapText="1"/>
    </xf>
  </cellXfs>
  <cellStyles count="1437">
    <cellStyle name=" 1" xfId="6"/>
    <cellStyle name="%" xfId="7"/>
    <cellStyle name="%_Inputs" xfId="8"/>
    <cellStyle name="%_Inputs (const)" xfId="9"/>
    <cellStyle name="%_Inputs Co" xfId="10"/>
    <cellStyle name="???????????" xfId="11"/>
    <cellStyle name="????????????? ???????????" xfId="12"/>
    <cellStyle name="???????_??.??????" xfId="13"/>
    <cellStyle name="??????_? ??????" xfId="14"/>
    <cellStyle name="_23.01.03_КрАЗ_изм НЗП_ноя0211мес.02" xfId="15"/>
    <cellStyle name="_36Бюджет2007(рабочий  вариант)-янв." xfId="16"/>
    <cellStyle name="_Approved RFAs - no 2007 spending" xfId="17"/>
    <cellStyle name="_Copy of ДРСК_1" xfId="1429"/>
    <cellStyle name="_FFF" xfId="18"/>
    <cellStyle name="_FFF_New Form10_2" xfId="19"/>
    <cellStyle name="_FFF_Nsi" xfId="20"/>
    <cellStyle name="_FFF_Nsi_1" xfId="21"/>
    <cellStyle name="_FFF_Nsi_139" xfId="22"/>
    <cellStyle name="_FFF_Nsi_140" xfId="23"/>
    <cellStyle name="_FFF_Nsi_140(Зах)" xfId="24"/>
    <cellStyle name="_FFF_Nsi_140_mod" xfId="25"/>
    <cellStyle name="_FFF_Summary" xfId="26"/>
    <cellStyle name="_FFF_Tax_form_1кв_3" xfId="27"/>
    <cellStyle name="_FFF_БКЭ" xfId="28"/>
    <cellStyle name="_Final_Book_010301" xfId="29"/>
    <cellStyle name="_Final_Book_010301_New Form10_2" xfId="30"/>
    <cellStyle name="_Final_Book_010301_Nsi" xfId="31"/>
    <cellStyle name="_Final_Book_010301_Nsi_1" xfId="32"/>
    <cellStyle name="_Final_Book_010301_Nsi_139" xfId="33"/>
    <cellStyle name="_Final_Book_010301_Nsi_140" xfId="34"/>
    <cellStyle name="_Final_Book_010301_Nsi_140(Зах)" xfId="35"/>
    <cellStyle name="_Final_Book_010301_Nsi_140_mod" xfId="36"/>
    <cellStyle name="_Final_Book_010301_Summary" xfId="37"/>
    <cellStyle name="_Final_Book_010301_Tax_form_1кв_3" xfId="38"/>
    <cellStyle name="_Final_Book_010301_БКЭ" xfId="39"/>
    <cellStyle name="_Model_RAB Мой" xfId="40"/>
    <cellStyle name="_Model_RAB Мой_BALANCE.WARM.2011YEAR.NEW.UPDATE.SCHEME" xfId="41"/>
    <cellStyle name="_Model_RAB Мой_UPDATE.BALANCE.WARM.2011YEAR.TO.1.1" xfId="42"/>
    <cellStyle name="_Model_RAB_MRSK_svod" xfId="43"/>
    <cellStyle name="_Model_RAB_MRSK_svod_BALANCE.WARM.2011YEAR.NEW.UPDATE.SCHEME" xfId="44"/>
    <cellStyle name="_Model_RAB_MRSK_svod_UPDATE.BALANCE.WARM.2011YEAR.TO.1.1" xfId="45"/>
    <cellStyle name="_New_Sofi" xfId="46"/>
    <cellStyle name="_New_Sofi_FFF" xfId="47"/>
    <cellStyle name="_New_Sofi_New Form10_2" xfId="48"/>
    <cellStyle name="_New_Sofi_Nsi" xfId="49"/>
    <cellStyle name="_New_Sofi_Nsi_1" xfId="50"/>
    <cellStyle name="_New_Sofi_Nsi_139" xfId="51"/>
    <cellStyle name="_New_Sofi_Nsi_140" xfId="52"/>
    <cellStyle name="_New_Sofi_Nsi_140(Зах)" xfId="53"/>
    <cellStyle name="_New_Sofi_Nsi_140_mod" xfId="54"/>
    <cellStyle name="_New_Sofi_Summary" xfId="55"/>
    <cellStyle name="_New_Sofi_Tax_form_1кв_3" xfId="56"/>
    <cellStyle name="_New_Sofi_БКЭ" xfId="57"/>
    <cellStyle name="_Nsi" xfId="58"/>
    <cellStyle name="_RFA Spending Jul-07 v1" xfId="59"/>
    <cellStyle name="_RFA Spending Jun-07 v1" xfId="60"/>
    <cellStyle name="_vypl_июнь" xfId="61"/>
    <cellStyle name="_ВО ОП ТЭС-ОТ- 2007" xfId="62"/>
    <cellStyle name="_ВФ ОАО ТЭС-ОТ- 2009" xfId="63"/>
    <cellStyle name="_выручка по присоединениям2" xfId="64"/>
    <cellStyle name="_Договор аренды ЯЭ с разбивкой" xfId="65"/>
    <cellStyle name="_Дозакл 5 мес.2000" xfId="66"/>
    <cellStyle name="_Исходные данные для модели" xfId="67"/>
    <cellStyle name="_кальк" xfId="68"/>
    <cellStyle name="_Книга3" xfId="69"/>
    <cellStyle name="_Книга3_New Form10_2" xfId="70"/>
    <cellStyle name="_Книга3_Nsi" xfId="71"/>
    <cellStyle name="_Книга3_Nsi_1" xfId="72"/>
    <cellStyle name="_Книга3_Nsi_139" xfId="73"/>
    <cellStyle name="_Книга3_Nsi_140" xfId="74"/>
    <cellStyle name="_Книга3_Nsi_140(Зах)" xfId="75"/>
    <cellStyle name="_Книга3_Nsi_140_mod" xfId="76"/>
    <cellStyle name="_Книга3_Summary" xfId="77"/>
    <cellStyle name="_Книга3_Tax_form_1кв_3" xfId="78"/>
    <cellStyle name="_Книга3_БКЭ" xfId="79"/>
    <cellStyle name="_Книга5" xfId="80"/>
    <cellStyle name="_Книга7" xfId="81"/>
    <cellStyle name="_Книга7_New Form10_2" xfId="82"/>
    <cellStyle name="_Книга7_Nsi" xfId="83"/>
    <cellStyle name="_Книга7_Nsi_1" xfId="84"/>
    <cellStyle name="_Книга7_Nsi_139" xfId="85"/>
    <cellStyle name="_Книга7_Nsi_140" xfId="86"/>
    <cellStyle name="_Книга7_Nsi_140(Зах)" xfId="87"/>
    <cellStyle name="_Книга7_Nsi_140_mod" xfId="88"/>
    <cellStyle name="_Книга7_Summary" xfId="89"/>
    <cellStyle name="_Книга7_Tax_form_1кв_3" xfId="90"/>
    <cellStyle name="_Книга7_БКЭ" xfId="91"/>
    <cellStyle name="_лимиты, потребности на 2008 по цеху 36" xfId="92"/>
    <cellStyle name="_МОДЕЛЬ_1 (2)" xfId="93"/>
    <cellStyle name="_МОДЕЛЬ_1 (2)_BALANCE.WARM.2011YEAR.NEW.UPDATE.SCHEME" xfId="94"/>
    <cellStyle name="_МОДЕЛЬ_1 (2)_UPDATE.BALANCE.WARM.2011YEAR.TO.1.1" xfId="95"/>
    <cellStyle name="_НВВ 2009 постатейно свод по филиалам_09_02_09" xfId="96"/>
    <cellStyle name="_НВВ 2009 постатейно свод по филиалам_для Валентина" xfId="97"/>
    <cellStyle name="_НЗП на 2003г." xfId="98"/>
    <cellStyle name="_Омск" xfId="99"/>
    <cellStyle name="_ОТ ИД 2009" xfId="100"/>
    <cellStyle name="_пр 5 тариф RAB" xfId="101"/>
    <cellStyle name="_пр 5 тариф RAB_BALANCE.WARM.2011YEAR.NEW.UPDATE.SCHEME" xfId="102"/>
    <cellStyle name="_пр 5 тариф RAB_UPDATE.BALANCE.WARM.2011YEAR.TO.1.1" xfId="103"/>
    <cellStyle name="_Предожение _ДБП_2009 г ( согласованные БП)  (2)" xfId="104"/>
    <cellStyle name="_прил12-04" xfId="105"/>
    <cellStyle name="_Приложение МТС-3-КС" xfId="106"/>
    <cellStyle name="_Приложение-МТС--2-1" xfId="107"/>
    <cellStyle name="_Приложения 4 5 13 к договорам на 2009(окон)" xfId="108"/>
    <cellStyle name="_Расчет RAB_22072008" xfId="109"/>
    <cellStyle name="_Расчет RAB_22072008_BALANCE.WARM.2011YEAR.NEW.UPDATE.SCHEME" xfId="110"/>
    <cellStyle name="_Расчет RAB_22072008_UPDATE.BALANCE.WARM.2011YEAR.TO.1.1" xfId="111"/>
    <cellStyle name="_Расчет RAB_Лен и МОЭСК_с 2010 года_14.04.2009_со сглаж_version 3.0_без ФСК" xfId="112"/>
    <cellStyle name="_Расчет RAB_Лен и МОЭСК_с 2010 года_14.04.2009_со сглаж_version 3.0_без ФСК_BALANCE.WARM.2011YEAR.NEW.UPDATE.SCHEME" xfId="113"/>
    <cellStyle name="_Расчет RAB_Лен и МОЭСК_с 2010 года_14.04.2009_со сглаж_version 3.0_без ФСК_UPDATE.BALANCE.WARM.2011YEAR.TO.1.1" xfId="114"/>
    <cellStyle name="_Расшифровки_1кв_2002" xfId="115"/>
    <cellStyle name="_Свод по ИПР (2)" xfId="116"/>
    <cellStyle name="_таблицы для расчетов28-04-08_2006-2009_прибыль корр_по ИА" xfId="117"/>
    <cellStyle name="_таблицы для расчетов28-04-08_2006-2009с ИА" xfId="118"/>
    <cellStyle name="_Форма 6  РТК.xls(отчет по Адр пр. ЛО)" xfId="119"/>
    <cellStyle name="_Форма Акта + Ведомость к приложению №8" xfId="120"/>
    <cellStyle name="_Формат разбивки по МРСК_РСК" xfId="121"/>
    <cellStyle name="_Формат_для Согласования" xfId="122"/>
    <cellStyle name="_Формы для заводов" xfId="123"/>
    <cellStyle name="_экон.форм-т ВО 1 с разбивкой" xfId="124"/>
    <cellStyle name="”€ќђќ‘ћ‚›‰" xfId="126"/>
    <cellStyle name="”€љ‘€ђћ‚ђќќ›‰" xfId="127"/>
    <cellStyle name="”ќђќ‘ћ‚›‰" xfId="128"/>
    <cellStyle name="”љ‘ђћ‚ђќќ›‰" xfId="129"/>
    <cellStyle name="„…ќ…†ќ›‰" xfId="130"/>
    <cellStyle name="€’ћѓћ‚›‰" xfId="133"/>
    <cellStyle name="‡ђѓћ‹ћ‚ћљ1" xfId="131"/>
    <cellStyle name="‡ђѓћ‹ћ‚ћљ2" xfId="132"/>
    <cellStyle name="’ћѓћ‚›‰" xfId="125"/>
    <cellStyle name="" xfId="1"/>
    <cellStyle name="" xfId="2"/>
    <cellStyle name="" xfId="3"/>
    <cellStyle name="" xfId="4"/>
    <cellStyle name="" xfId="5"/>
    <cellStyle name="1" xfId="135"/>
    <cellStyle name="2" xfId="136"/>
    <cellStyle name="0,00;0;" xfId="134"/>
    <cellStyle name="20% - Accent1" xfId="137"/>
    <cellStyle name="20% - Accent1 2" xfId="138"/>
    <cellStyle name="20% - Accent1_BALANCE.WARM.2011YEAR.NEW.UPDATE.SCHEME" xfId="139"/>
    <cellStyle name="20% - Accent2" xfId="140"/>
    <cellStyle name="20% - Accent2 2" xfId="141"/>
    <cellStyle name="20% - Accent2_BALANCE.WARM.2011YEAR.NEW.UPDATE.SCHEME" xfId="142"/>
    <cellStyle name="20% - Accent3" xfId="143"/>
    <cellStyle name="20% - Accent3 2" xfId="144"/>
    <cellStyle name="20% - Accent3_BALANCE.WARM.2011YEAR.NEW.UPDATE.SCHEME" xfId="145"/>
    <cellStyle name="20% - Accent4" xfId="146"/>
    <cellStyle name="20% - Accent4 2" xfId="147"/>
    <cellStyle name="20% - Accent4_BALANCE.WARM.2011YEAR.NEW.UPDATE.SCHEME" xfId="148"/>
    <cellStyle name="20% - Accent5" xfId="149"/>
    <cellStyle name="20% - Accent5 2" xfId="150"/>
    <cellStyle name="20% - Accent5_BALANCE.WARM.2011YEAR.NEW.UPDATE.SCHEME" xfId="151"/>
    <cellStyle name="20% - Accent6" xfId="152"/>
    <cellStyle name="20% - Accent6 2" xfId="153"/>
    <cellStyle name="20% - Accent6_BALANCE.WARM.2011YEAR.NEW.UPDATE.SCHEME" xfId="154"/>
    <cellStyle name="20% - Акцент1 2" xfId="155"/>
    <cellStyle name="20% - Акцент1 2 2" xfId="156"/>
    <cellStyle name="20% - Акцент1 2_BALANCE.WARM.2011YEAR.NEW.UPDATE.SCHEME" xfId="157"/>
    <cellStyle name="20% - Акцент1 3" xfId="158"/>
    <cellStyle name="20% - Акцент1 3 2" xfId="159"/>
    <cellStyle name="20% - Акцент1 3_BALANCE.WARM.2011YEAR.NEW.UPDATE.SCHEME" xfId="160"/>
    <cellStyle name="20% - Акцент1 4" xfId="161"/>
    <cellStyle name="20% - Акцент1 4 2" xfId="162"/>
    <cellStyle name="20% - Акцент1 4_BALANCE.WARM.2011YEAR.NEW.UPDATE.SCHEME" xfId="163"/>
    <cellStyle name="20% - Акцент1 5" xfId="164"/>
    <cellStyle name="20% - Акцент1 5 2" xfId="165"/>
    <cellStyle name="20% - Акцент1 5_BALANCE.WARM.2011YEAR.NEW.UPDATE.SCHEME" xfId="166"/>
    <cellStyle name="20% - Акцент1 6" xfId="167"/>
    <cellStyle name="20% - Акцент1 6 2" xfId="168"/>
    <cellStyle name="20% - Акцент1 6_BALANCE.WARM.2011YEAR.NEW.UPDATE.SCHEME" xfId="169"/>
    <cellStyle name="20% - Акцент1 7" xfId="170"/>
    <cellStyle name="20% - Акцент1 7 2" xfId="171"/>
    <cellStyle name="20% - Акцент1 7_BALANCE.WARM.2011YEAR.NEW.UPDATE.SCHEME" xfId="172"/>
    <cellStyle name="20% - Акцент1 8" xfId="173"/>
    <cellStyle name="20% - Акцент1 8 2" xfId="174"/>
    <cellStyle name="20% - Акцент1 8_BALANCE.WARM.2011YEAR.NEW.UPDATE.SCHEME" xfId="175"/>
    <cellStyle name="20% - Акцент1 9" xfId="176"/>
    <cellStyle name="20% - Акцент1 9 2" xfId="177"/>
    <cellStyle name="20% - Акцент1 9_BALANCE.WARM.2011YEAR.NEW.UPDATE.SCHEME" xfId="178"/>
    <cellStyle name="20% - Акцент2 2" xfId="179"/>
    <cellStyle name="20% - Акцент2 2 2" xfId="180"/>
    <cellStyle name="20% - Акцент2 2_BALANCE.WARM.2011YEAR.NEW.UPDATE.SCHEME" xfId="181"/>
    <cellStyle name="20% - Акцент2 3" xfId="182"/>
    <cellStyle name="20% - Акцент2 3 2" xfId="183"/>
    <cellStyle name="20% - Акцент2 3_BALANCE.WARM.2011YEAR.NEW.UPDATE.SCHEME" xfId="184"/>
    <cellStyle name="20% - Акцент2 4" xfId="185"/>
    <cellStyle name="20% - Акцент2 4 2" xfId="186"/>
    <cellStyle name="20% - Акцент2 4_BALANCE.WARM.2011YEAR.NEW.UPDATE.SCHEME" xfId="187"/>
    <cellStyle name="20% - Акцент2 5" xfId="188"/>
    <cellStyle name="20% - Акцент2 5 2" xfId="189"/>
    <cellStyle name="20% - Акцент2 5_BALANCE.WARM.2011YEAR.NEW.UPDATE.SCHEME" xfId="190"/>
    <cellStyle name="20% - Акцент2 6" xfId="191"/>
    <cellStyle name="20% - Акцент2 6 2" xfId="192"/>
    <cellStyle name="20% - Акцент2 6_BALANCE.WARM.2011YEAR.NEW.UPDATE.SCHEME" xfId="193"/>
    <cellStyle name="20% - Акцент2 7" xfId="194"/>
    <cellStyle name="20% - Акцент2 7 2" xfId="195"/>
    <cellStyle name="20% - Акцент2 7_BALANCE.WARM.2011YEAR.NEW.UPDATE.SCHEME" xfId="196"/>
    <cellStyle name="20% - Акцент2 8" xfId="197"/>
    <cellStyle name="20% - Акцент2 8 2" xfId="198"/>
    <cellStyle name="20% - Акцент2 8_BALANCE.WARM.2011YEAR.NEW.UPDATE.SCHEME" xfId="199"/>
    <cellStyle name="20% - Акцент2 9" xfId="200"/>
    <cellStyle name="20% - Акцент2 9 2" xfId="201"/>
    <cellStyle name="20% - Акцент2 9_BALANCE.WARM.2011YEAR.NEW.UPDATE.SCHEME" xfId="202"/>
    <cellStyle name="20% - Акцент3 2" xfId="203"/>
    <cellStyle name="20% - Акцент3 2 2" xfId="204"/>
    <cellStyle name="20% - Акцент3 2_BALANCE.WARM.2011YEAR.NEW.UPDATE.SCHEME" xfId="205"/>
    <cellStyle name="20% - Акцент3 3" xfId="206"/>
    <cellStyle name="20% - Акцент3 3 2" xfId="207"/>
    <cellStyle name="20% - Акцент3 3_BALANCE.WARM.2011YEAR.NEW.UPDATE.SCHEME" xfId="208"/>
    <cellStyle name="20% - Акцент3 4" xfId="209"/>
    <cellStyle name="20% - Акцент3 4 2" xfId="210"/>
    <cellStyle name="20% - Акцент3 4_BALANCE.WARM.2011YEAR.NEW.UPDATE.SCHEME" xfId="211"/>
    <cellStyle name="20% - Акцент3 5" xfId="212"/>
    <cellStyle name="20% - Акцент3 5 2" xfId="213"/>
    <cellStyle name="20% - Акцент3 5_BALANCE.WARM.2011YEAR.NEW.UPDATE.SCHEME" xfId="214"/>
    <cellStyle name="20% - Акцент3 6" xfId="215"/>
    <cellStyle name="20% - Акцент3 6 2" xfId="216"/>
    <cellStyle name="20% - Акцент3 6_BALANCE.WARM.2011YEAR.NEW.UPDATE.SCHEME" xfId="217"/>
    <cellStyle name="20% - Акцент3 7" xfId="218"/>
    <cellStyle name="20% - Акцент3 7 2" xfId="219"/>
    <cellStyle name="20% - Акцент3 7_BALANCE.WARM.2011YEAR.NEW.UPDATE.SCHEME" xfId="220"/>
    <cellStyle name="20% - Акцент3 8" xfId="221"/>
    <cellStyle name="20% - Акцент3 8 2" xfId="222"/>
    <cellStyle name="20% - Акцент3 8_BALANCE.WARM.2011YEAR.NEW.UPDATE.SCHEME" xfId="223"/>
    <cellStyle name="20% - Акцент3 9" xfId="224"/>
    <cellStyle name="20% - Акцент3 9 2" xfId="225"/>
    <cellStyle name="20% - Акцент3 9_BALANCE.WARM.2011YEAR.NEW.UPDATE.SCHEME" xfId="226"/>
    <cellStyle name="20% - Акцент4 2" xfId="227"/>
    <cellStyle name="20% - Акцент4 2 2" xfId="228"/>
    <cellStyle name="20% - Акцент4 2_BALANCE.WARM.2011YEAR.NEW.UPDATE.SCHEME" xfId="229"/>
    <cellStyle name="20% - Акцент4 3" xfId="230"/>
    <cellStyle name="20% - Акцент4 3 2" xfId="231"/>
    <cellStyle name="20% - Акцент4 3_BALANCE.WARM.2011YEAR.NEW.UPDATE.SCHEME" xfId="232"/>
    <cellStyle name="20% - Акцент4 4" xfId="233"/>
    <cellStyle name="20% - Акцент4 4 2" xfId="234"/>
    <cellStyle name="20% - Акцент4 4_BALANCE.WARM.2011YEAR.NEW.UPDATE.SCHEME" xfId="235"/>
    <cellStyle name="20% - Акцент4 5" xfId="236"/>
    <cellStyle name="20% - Акцент4 5 2" xfId="237"/>
    <cellStyle name="20% - Акцент4 5_BALANCE.WARM.2011YEAR.NEW.UPDATE.SCHEME" xfId="238"/>
    <cellStyle name="20% - Акцент4 6" xfId="239"/>
    <cellStyle name="20% - Акцент4 6 2" xfId="240"/>
    <cellStyle name="20% - Акцент4 6_BALANCE.WARM.2011YEAR.NEW.UPDATE.SCHEME" xfId="241"/>
    <cellStyle name="20% - Акцент4 7" xfId="242"/>
    <cellStyle name="20% - Акцент4 7 2" xfId="243"/>
    <cellStyle name="20% - Акцент4 7_BALANCE.WARM.2011YEAR.NEW.UPDATE.SCHEME" xfId="244"/>
    <cellStyle name="20% - Акцент4 8" xfId="245"/>
    <cellStyle name="20% - Акцент4 8 2" xfId="246"/>
    <cellStyle name="20% - Акцент4 8_BALANCE.WARM.2011YEAR.NEW.UPDATE.SCHEME" xfId="247"/>
    <cellStyle name="20% - Акцент4 9" xfId="248"/>
    <cellStyle name="20% - Акцент4 9 2" xfId="249"/>
    <cellStyle name="20% - Акцент4 9_BALANCE.WARM.2011YEAR.NEW.UPDATE.SCHEME" xfId="250"/>
    <cellStyle name="20% - Акцент5 2" xfId="251"/>
    <cellStyle name="20% - Акцент5 2 2" xfId="252"/>
    <cellStyle name="20% - Акцент5 2_BALANCE.WARM.2011YEAR.NEW.UPDATE.SCHEME" xfId="253"/>
    <cellStyle name="20% - Акцент5 3" xfId="254"/>
    <cellStyle name="20% - Акцент5 3 2" xfId="255"/>
    <cellStyle name="20% - Акцент5 3_BALANCE.WARM.2011YEAR.NEW.UPDATE.SCHEME" xfId="256"/>
    <cellStyle name="20% - Акцент5 4" xfId="257"/>
    <cellStyle name="20% - Акцент5 4 2" xfId="258"/>
    <cellStyle name="20% - Акцент5 4_BALANCE.WARM.2011YEAR.NEW.UPDATE.SCHEME" xfId="259"/>
    <cellStyle name="20% - Акцент5 5" xfId="260"/>
    <cellStyle name="20% - Акцент5 5 2" xfId="261"/>
    <cellStyle name="20% - Акцент5 5_BALANCE.WARM.2011YEAR.NEW.UPDATE.SCHEME" xfId="262"/>
    <cellStyle name="20% - Акцент5 6" xfId="263"/>
    <cellStyle name="20% - Акцент5 6 2" xfId="264"/>
    <cellStyle name="20% - Акцент5 6_BALANCE.WARM.2011YEAR.NEW.UPDATE.SCHEME" xfId="265"/>
    <cellStyle name="20% - Акцент5 7" xfId="266"/>
    <cellStyle name="20% - Акцент5 7 2" xfId="267"/>
    <cellStyle name="20% - Акцент5 7_BALANCE.WARM.2011YEAR.NEW.UPDATE.SCHEME" xfId="268"/>
    <cellStyle name="20% - Акцент5 8" xfId="269"/>
    <cellStyle name="20% - Акцент5 8 2" xfId="270"/>
    <cellStyle name="20% - Акцент5 8_BALANCE.WARM.2011YEAR.NEW.UPDATE.SCHEME" xfId="271"/>
    <cellStyle name="20% - Акцент5 9" xfId="272"/>
    <cellStyle name="20% - Акцент5 9 2" xfId="273"/>
    <cellStyle name="20% - Акцент5 9_BALANCE.WARM.2011YEAR.NEW.UPDATE.SCHEME" xfId="274"/>
    <cellStyle name="20% - Акцент6 2" xfId="275"/>
    <cellStyle name="20% - Акцент6 2 2" xfId="276"/>
    <cellStyle name="20% - Акцент6 2_BALANCE.WARM.2011YEAR.NEW.UPDATE.SCHEME" xfId="277"/>
    <cellStyle name="20% - Акцент6 3" xfId="278"/>
    <cellStyle name="20% - Акцент6 3 2" xfId="279"/>
    <cellStyle name="20% - Акцент6 3_BALANCE.WARM.2011YEAR.NEW.UPDATE.SCHEME" xfId="280"/>
    <cellStyle name="20% - Акцент6 4" xfId="281"/>
    <cellStyle name="20% - Акцент6 4 2" xfId="282"/>
    <cellStyle name="20% - Акцент6 4_BALANCE.WARM.2011YEAR.NEW.UPDATE.SCHEME" xfId="283"/>
    <cellStyle name="20% - Акцент6 5" xfId="284"/>
    <cellStyle name="20% - Акцент6 5 2" xfId="285"/>
    <cellStyle name="20% - Акцент6 5_BALANCE.WARM.2011YEAR.NEW.UPDATE.SCHEME" xfId="286"/>
    <cellStyle name="20% - Акцент6 6" xfId="287"/>
    <cellStyle name="20% - Акцент6 6 2" xfId="288"/>
    <cellStyle name="20% - Акцент6 6_BALANCE.WARM.2011YEAR.NEW.UPDATE.SCHEME" xfId="289"/>
    <cellStyle name="20% - Акцент6 7" xfId="290"/>
    <cellStyle name="20% - Акцент6 7 2" xfId="291"/>
    <cellStyle name="20% - Акцент6 7_BALANCE.WARM.2011YEAR.NEW.UPDATE.SCHEME" xfId="292"/>
    <cellStyle name="20% - Акцент6 8" xfId="293"/>
    <cellStyle name="20% - Акцент6 8 2" xfId="294"/>
    <cellStyle name="20% - Акцент6 8_BALANCE.WARM.2011YEAR.NEW.UPDATE.SCHEME" xfId="295"/>
    <cellStyle name="20% - Акцент6 9" xfId="296"/>
    <cellStyle name="20% - Акцент6 9 2" xfId="297"/>
    <cellStyle name="20% - Акцент6 9_BALANCE.WARM.2011YEAR.NEW.UPDATE.SCHEME" xfId="298"/>
    <cellStyle name="40% - Accent1" xfId="299"/>
    <cellStyle name="40% - Accent1 2" xfId="300"/>
    <cellStyle name="40% - Accent1_BALANCE.WARM.2011YEAR.NEW.UPDATE.SCHEME" xfId="301"/>
    <cellStyle name="40% - Accent2" xfId="302"/>
    <cellStyle name="40% - Accent2 2" xfId="303"/>
    <cellStyle name="40% - Accent2_BALANCE.WARM.2011YEAR.NEW.UPDATE.SCHEME" xfId="304"/>
    <cellStyle name="40% - Accent3" xfId="305"/>
    <cellStyle name="40% - Accent3 2" xfId="306"/>
    <cellStyle name="40% - Accent3_BALANCE.WARM.2011YEAR.NEW.UPDATE.SCHEME" xfId="307"/>
    <cellStyle name="40% - Accent4" xfId="308"/>
    <cellStyle name="40% - Accent4 2" xfId="309"/>
    <cellStyle name="40% - Accent4_BALANCE.WARM.2011YEAR.NEW.UPDATE.SCHEME" xfId="310"/>
    <cellStyle name="40% - Accent5" xfId="311"/>
    <cellStyle name="40% - Accent5 2" xfId="312"/>
    <cellStyle name="40% - Accent5_BALANCE.WARM.2011YEAR.NEW.UPDATE.SCHEME" xfId="313"/>
    <cellStyle name="40% - Accent6" xfId="314"/>
    <cellStyle name="40% - Accent6 2" xfId="315"/>
    <cellStyle name="40% - Accent6_BALANCE.WARM.2011YEAR.NEW.UPDATE.SCHEME" xfId="316"/>
    <cellStyle name="40% - Акцент1 2" xfId="317"/>
    <cellStyle name="40% - Акцент1 2 2" xfId="318"/>
    <cellStyle name="40% - Акцент1 2_BALANCE.WARM.2011YEAR.NEW.UPDATE.SCHEME" xfId="319"/>
    <cellStyle name="40% - Акцент1 3" xfId="320"/>
    <cellStyle name="40% - Акцент1 3 2" xfId="321"/>
    <cellStyle name="40% - Акцент1 3_BALANCE.WARM.2011YEAR.NEW.UPDATE.SCHEME" xfId="322"/>
    <cellStyle name="40% - Акцент1 4" xfId="323"/>
    <cellStyle name="40% - Акцент1 4 2" xfId="324"/>
    <cellStyle name="40% - Акцент1 4_BALANCE.WARM.2011YEAR.NEW.UPDATE.SCHEME" xfId="325"/>
    <cellStyle name="40% - Акцент1 5" xfId="326"/>
    <cellStyle name="40% - Акцент1 5 2" xfId="327"/>
    <cellStyle name="40% - Акцент1 5_BALANCE.WARM.2011YEAR.NEW.UPDATE.SCHEME" xfId="328"/>
    <cellStyle name="40% - Акцент1 6" xfId="329"/>
    <cellStyle name="40% - Акцент1 6 2" xfId="330"/>
    <cellStyle name="40% - Акцент1 6_BALANCE.WARM.2011YEAR.NEW.UPDATE.SCHEME" xfId="331"/>
    <cellStyle name="40% - Акцент1 7" xfId="332"/>
    <cellStyle name="40% - Акцент1 7 2" xfId="333"/>
    <cellStyle name="40% - Акцент1 7_BALANCE.WARM.2011YEAR.NEW.UPDATE.SCHEME" xfId="334"/>
    <cellStyle name="40% - Акцент1 8" xfId="335"/>
    <cellStyle name="40% - Акцент1 8 2" xfId="336"/>
    <cellStyle name="40% - Акцент1 8_BALANCE.WARM.2011YEAR.NEW.UPDATE.SCHEME" xfId="337"/>
    <cellStyle name="40% - Акцент1 9" xfId="338"/>
    <cellStyle name="40% - Акцент1 9 2" xfId="339"/>
    <cellStyle name="40% - Акцент1 9_BALANCE.WARM.2011YEAR.NEW.UPDATE.SCHEME" xfId="340"/>
    <cellStyle name="40% - Акцент2 2" xfId="341"/>
    <cellStyle name="40% - Акцент2 2 2" xfId="342"/>
    <cellStyle name="40% - Акцент2 2_BALANCE.WARM.2011YEAR.NEW.UPDATE.SCHEME" xfId="343"/>
    <cellStyle name="40% - Акцент2 3" xfId="344"/>
    <cellStyle name="40% - Акцент2 3 2" xfId="345"/>
    <cellStyle name="40% - Акцент2 3_BALANCE.WARM.2011YEAR.NEW.UPDATE.SCHEME" xfId="346"/>
    <cellStyle name="40% - Акцент2 4" xfId="347"/>
    <cellStyle name="40% - Акцент2 4 2" xfId="348"/>
    <cellStyle name="40% - Акцент2 4_BALANCE.WARM.2011YEAR.NEW.UPDATE.SCHEME" xfId="349"/>
    <cellStyle name="40% - Акцент2 5" xfId="350"/>
    <cellStyle name="40% - Акцент2 5 2" xfId="351"/>
    <cellStyle name="40% - Акцент2 5_BALANCE.WARM.2011YEAR.NEW.UPDATE.SCHEME" xfId="352"/>
    <cellStyle name="40% - Акцент2 6" xfId="353"/>
    <cellStyle name="40% - Акцент2 6 2" xfId="354"/>
    <cellStyle name="40% - Акцент2 6_BALANCE.WARM.2011YEAR.NEW.UPDATE.SCHEME" xfId="355"/>
    <cellStyle name="40% - Акцент2 7" xfId="356"/>
    <cellStyle name="40% - Акцент2 7 2" xfId="357"/>
    <cellStyle name="40% - Акцент2 7_BALANCE.WARM.2011YEAR.NEW.UPDATE.SCHEME" xfId="358"/>
    <cellStyle name="40% - Акцент2 8" xfId="359"/>
    <cellStyle name="40% - Акцент2 8 2" xfId="360"/>
    <cellStyle name="40% - Акцент2 8_BALANCE.WARM.2011YEAR.NEW.UPDATE.SCHEME" xfId="361"/>
    <cellStyle name="40% - Акцент2 9" xfId="362"/>
    <cellStyle name="40% - Акцент2 9 2" xfId="363"/>
    <cellStyle name="40% - Акцент2 9_BALANCE.WARM.2011YEAR.NEW.UPDATE.SCHEME" xfId="364"/>
    <cellStyle name="40% - Акцент3 2" xfId="365"/>
    <cellStyle name="40% - Акцент3 2 2" xfId="366"/>
    <cellStyle name="40% - Акцент3 2_BALANCE.WARM.2011YEAR.NEW.UPDATE.SCHEME" xfId="367"/>
    <cellStyle name="40% - Акцент3 3" xfId="368"/>
    <cellStyle name="40% - Акцент3 3 2" xfId="369"/>
    <cellStyle name="40% - Акцент3 3_BALANCE.WARM.2011YEAR.NEW.UPDATE.SCHEME" xfId="370"/>
    <cellStyle name="40% - Акцент3 4" xfId="371"/>
    <cellStyle name="40% - Акцент3 4 2" xfId="372"/>
    <cellStyle name="40% - Акцент3 4_BALANCE.WARM.2011YEAR.NEW.UPDATE.SCHEME" xfId="373"/>
    <cellStyle name="40% - Акцент3 5" xfId="374"/>
    <cellStyle name="40% - Акцент3 5 2" xfId="375"/>
    <cellStyle name="40% - Акцент3 5_BALANCE.WARM.2011YEAR.NEW.UPDATE.SCHEME" xfId="376"/>
    <cellStyle name="40% - Акцент3 6" xfId="377"/>
    <cellStyle name="40% - Акцент3 6 2" xfId="378"/>
    <cellStyle name="40% - Акцент3 6_BALANCE.WARM.2011YEAR.NEW.UPDATE.SCHEME" xfId="379"/>
    <cellStyle name="40% - Акцент3 7" xfId="380"/>
    <cellStyle name="40% - Акцент3 7 2" xfId="381"/>
    <cellStyle name="40% - Акцент3 7_BALANCE.WARM.2011YEAR.NEW.UPDATE.SCHEME" xfId="382"/>
    <cellStyle name="40% - Акцент3 8" xfId="383"/>
    <cellStyle name="40% - Акцент3 8 2" xfId="384"/>
    <cellStyle name="40% - Акцент3 8_BALANCE.WARM.2011YEAR.NEW.UPDATE.SCHEME" xfId="385"/>
    <cellStyle name="40% - Акцент3 9" xfId="386"/>
    <cellStyle name="40% - Акцент3 9 2" xfId="387"/>
    <cellStyle name="40% - Акцент3 9_BALANCE.WARM.2011YEAR.NEW.UPDATE.SCHEME" xfId="388"/>
    <cellStyle name="40% - Акцент4 2" xfId="389"/>
    <cellStyle name="40% - Акцент4 2 2" xfId="390"/>
    <cellStyle name="40% - Акцент4 2_BALANCE.WARM.2011YEAR.NEW.UPDATE.SCHEME" xfId="391"/>
    <cellStyle name="40% - Акцент4 3" xfId="392"/>
    <cellStyle name="40% - Акцент4 3 2" xfId="393"/>
    <cellStyle name="40% - Акцент4 3_BALANCE.WARM.2011YEAR.NEW.UPDATE.SCHEME" xfId="394"/>
    <cellStyle name="40% - Акцент4 4" xfId="395"/>
    <cellStyle name="40% - Акцент4 4 2" xfId="396"/>
    <cellStyle name="40% - Акцент4 4_BALANCE.WARM.2011YEAR.NEW.UPDATE.SCHEME" xfId="397"/>
    <cellStyle name="40% - Акцент4 5" xfId="398"/>
    <cellStyle name="40% - Акцент4 5 2" xfId="399"/>
    <cellStyle name="40% - Акцент4 5_BALANCE.WARM.2011YEAR.NEW.UPDATE.SCHEME" xfId="400"/>
    <cellStyle name="40% - Акцент4 6" xfId="401"/>
    <cellStyle name="40% - Акцент4 6 2" xfId="402"/>
    <cellStyle name="40% - Акцент4 6_BALANCE.WARM.2011YEAR.NEW.UPDATE.SCHEME" xfId="403"/>
    <cellStyle name="40% - Акцент4 7" xfId="404"/>
    <cellStyle name="40% - Акцент4 7 2" xfId="405"/>
    <cellStyle name="40% - Акцент4 7_BALANCE.WARM.2011YEAR.NEW.UPDATE.SCHEME" xfId="406"/>
    <cellStyle name="40% - Акцент4 8" xfId="407"/>
    <cellStyle name="40% - Акцент4 8 2" xfId="408"/>
    <cellStyle name="40% - Акцент4 8_BALANCE.WARM.2011YEAR.NEW.UPDATE.SCHEME" xfId="409"/>
    <cellStyle name="40% - Акцент4 9" xfId="410"/>
    <cellStyle name="40% - Акцент4 9 2" xfId="411"/>
    <cellStyle name="40% - Акцент4 9_BALANCE.WARM.2011YEAR.NEW.UPDATE.SCHEME" xfId="412"/>
    <cellStyle name="40% - Акцент5 2" xfId="413"/>
    <cellStyle name="40% - Акцент5 2 2" xfId="414"/>
    <cellStyle name="40% - Акцент5 2_BALANCE.WARM.2011YEAR.NEW.UPDATE.SCHEME" xfId="415"/>
    <cellStyle name="40% - Акцент5 3" xfId="416"/>
    <cellStyle name="40% - Акцент5 3 2" xfId="417"/>
    <cellStyle name="40% - Акцент5 3_BALANCE.WARM.2011YEAR.NEW.UPDATE.SCHEME" xfId="418"/>
    <cellStyle name="40% - Акцент5 4" xfId="419"/>
    <cellStyle name="40% - Акцент5 4 2" xfId="420"/>
    <cellStyle name="40% - Акцент5 4_BALANCE.WARM.2011YEAR.NEW.UPDATE.SCHEME" xfId="421"/>
    <cellStyle name="40% - Акцент5 5" xfId="422"/>
    <cellStyle name="40% - Акцент5 5 2" xfId="423"/>
    <cellStyle name="40% - Акцент5 5_BALANCE.WARM.2011YEAR.NEW.UPDATE.SCHEME" xfId="424"/>
    <cellStyle name="40% - Акцент5 6" xfId="425"/>
    <cellStyle name="40% - Акцент5 6 2" xfId="426"/>
    <cellStyle name="40% - Акцент5 6_BALANCE.WARM.2011YEAR.NEW.UPDATE.SCHEME" xfId="427"/>
    <cellStyle name="40% - Акцент5 7" xfId="428"/>
    <cellStyle name="40% - Акцент5 7 2" xfId="429"/>
    <cellStyle name="40% - Акцент5 7_BALANCE.WARM.2011YEAR.NEW.UPDATE.SCHEME" xfId="430"/>
    <cellStyle name="40% - Акцент5 8" xfId="431"/>
    <cellStyle name="40% - Акцент5 8 2" xfId="432"/>
    <cellStyle name="40% - Акцент5 8_BALANCE.WARM.2011YEAR.NEW.UPDATE.SCHEME" xfId="433"/>
    <cellStyle name="40% - Акцент5 9" xfId="434"/>
    <cellStyle name="40% - Акцент5 9 2" xfId="435"/>
    <cellStyle name="40% - Акцент5 9_BALANCE.WARM.2011YEAR.NEW.UPDATE.SCHEME" xfId="436"/>
    <cellStyle name="40% - Акцент6 2" xfId="437"/>
    <cellStyle name="40% - Акцент6 2 2" xfId="438"/>
    <cellStyle name="40% - Акцент6 2_BALANCE.WARM.2011YEAR.NEW.UPDATE.SCHEME" xfId="439"/>
    <cellStyle name="40% - Акцент6 3" xfId="440"/>
    <cellStyle name="40% - Акцент6 3 2" xfId="441"/>
    <cellStyle name="40% - Акцент6 3_BALANCE.WARM.2011YEAR.NEW.UPDATE.SCHEME" xfId="442"/>
    <cellStyle name="40% - Акцент6 4" xfId="443"/>
    <cellStyle name="40% - Акцент6 4 2" xfId="444"/>
    <cellStyle name="40% - Акцент6 4_BALANCE.WARM.2011YEAR.NEW.UPDATE.SCHEME" xfId="445"/>
    <cellStyle name="40% - Акцент6 5" xfId="446"/>
    <cellStyle name="40% - Акцент6 5 2" xfId="447"/>
    <cellStyle name="40% - Акцент6 5_BALANCE.WARM.2011YEAR.NEW.UPDATE.SCHEME" xfId="448"/>
    <cellStyle name="40% - Акцент6 6" xfId="449"/>
    <cellStyle name="40% - Акцент6 6 2" xfId="450"/>
    <cellStyle name="40% - Акцент6 6_BALANCE.WARM.2011YEAR.NEW.UPDATE.SCHEME" xfId="451"/>
    <cellStyle name="40% - Акцент6 7" xfId="452"/>
    <cellStyle name="40% - Акцент6 7 2" xfId="453"/>
    <cellStyle name="40% - Акцент6 7_BALANCE.WARM.2011YEAR.NEW.UPDATE.SCHEME" xfId="454"/>
    <cellStyle name="40% - Акцент6 8" xfId="455"/>
    <cellStyle name="40% - Акцент6 8 2" xfId="456"/>
    <cellStyle name="40% - Акцент6 8_BALANCE.WARM.2011YEAR.NEW.UPDATE.SCHEME" xfId="457"/>
    <cellStyle name="40% - Акцент6 9" xfId="458"/>
    <cellStyle name="40% - Акцент6 9 2" xfId="459"/>
    <cellStyle name="40% - Акцент6 9_BALANCE.WARM.2011YEAR.NEW.UPDATE.SCHEME" xfId="460"/>
    <cellStyle name="60% - Accent1" xfId="461"/>
    <cellStyle name="60% - Accent2" xfId="462"/>
    <cellStyle name="60% - Accent3" xfId="463"/>
    <cellStyle name="60% - Accent4" xfId="464"/>
    <cellStyle name="60% - Accent5" xfId="465"/>
    <cellStyle name="60% - Accent6" xfId="466"/>
    <cellStyle name="60% - Акцент1 2" xfId="467"/>
    <cellStyle name="60% - Акцент1 2 2" xfId="468"/>
    <cellStyle name="60% - Акцент1 3" xfId="469"/>
    <cellStyle name="60% - Акцент1 3 2" xfId="470"/>
    <cellStyle name="60% - Акцент1 4" xfId="471"/>
    <cellStyle name="60% - Акцент1 4 2" xfId="472"/>
    <cellStyle name="60% - Акцент1 5" xfId="473"/>
    <cellStyle name="60% - Акцент1 5 2" xfId="474"/>
    <cellStyle name="60% - Акцент1 6" xfId="475"/>
    <cellStyle name="60% - Акцент1 6 2" xfId="476"/>
    <cellStyle name="60% - Акцент1 7" xfId="477"/>
    <cellStyle name="60% - Акцент1 7 2" xfId="478"/>
    <cellStyle name="60% - Акцент1 8" xfId="479"/>
    <cellStyle name="60% - Акцент1 8 2" xfId="480"/>
    <cellStyle name="60% - Акцент1 9" xfId="481"/>
    <cellStyle name="60% - Акцент1 9 2" xfId="482"/>
    <cellStyle name="60% - Акцент2 2" xfId="483"/>
    <cellStyle name="60% - Акцент2 2 2" xfId="484"/>
    <cellStyle name="60% - Акцент2 3" xfId="485"/>
    <cellStyle name="60% - Акцент2 3 2" xfId="486"/>
    <cellStyle name="60% - Акцент2 4" xfId="487"/>
    <cellStyle name="60% - Акцент2 4 2" xfId="488"/>
    <cellStyle name="60% - Акцент2 5" xfId="489"/>
    <cellStyle name="60% - Акцент2 5 2" xfId="490"/>
    <cellStyle name="60% - Акцент2 6" xfId="491"/>
    <cellStyle name="60% - Акцент2 6 2" xfId="492"/>
    <cellStyle name="60% - Акцент2 7" xfId="493"/>
    <cellStyle name="60% - Акцент2 7 2" xfId="494"/>
    <cellStyle name="60% - Акцент2 8" xfId="495"/>
    <cellStyle name="60% - Акцент2 8 2" xfId="496"/>
    <cellStyle name="60% - Акцент2 9" xfId="497"/>
    <cellStyle name="60% - Акцент2 9 2" xfId="498"/>
    <cellStyle name="60% - Акцент3 2" xfId="499"/>
    <cellStyle name="60% - Акцент3 2 2" xfId="500"/>
    <cellStyle name="60% - Акцент3 3" xfId="501"/>
    <cellStyle name="60% - Акцент3 3 2" xfId="502"/>
    <cellStyle name="60% - Акцент3 4" xfId="503"/>
    <cellStyle name="60% - Акцент3 4 2" xfId="504"/>
    <cellStyle name="60% - Акцент3 5" xfId="505"/>
    <cellStyle name="60% - Акцент3 5 2" xfId="506"/>
    <cellStyle name="60% - Акцент3 6" xfId="507"/>
    <cellStyle name="60% - Акцент3 6 2" xfId="508"/>
    <cellStyle name="60% - Акцент3 7" xfId="509"/>
    <cellStyle name="60% - Акцент3 7 2" xfId="510"/>
    <cellStyle name="60% - Акцент3 8" xfId="511"/>
    <cellStyle name="60% - Акцент3 8 2" xfId="512"/>
    <cellStyle name="60% - Акцент3 9" xfId="513"/>
    <cellStyle name="60% - Акцент3 9 2" xfId="514"/>
    <cellStyle name="60% - Акцент4 2" xfId="515"/>
    <cellStyle name="60% - Акцент4 2 2" xfId="516"/>
    <cellStyle name="60% - Акцент4 3" xfId="517"/>
    <cellStyle name="60% - Акцент4 3 2" xfId="518"/>
    <cellStyle name="60% - Акцент4 4" xfId="519"/>
    <cellStyle name="60% - Акцент4 4 2" xfId="520"/>
    <cellStyle name="60% - Акцент4 5" xfId="521"/>
    <cellStyle name="60% - Акцент4 5 2" xfId="522"/>
    <cellStyle name="60% - Акцент4 6" xfId="523"/>
    <cellStyle name="60% - Акцент4 6 2" xfId="524"/>
    <cellStyle name="60% - Акцент4 7" xfId="525"/>
    <cellStyle name="60% - Акцент4 7 2" xfId="526"/>
    <cellStyle name="60% - Акцент4 8" xfId="527"/>
    <cellStyle name="60% - Акцент4 8 2" xfId="528"/>
    <cellStyle name="60% - Акцент4 9" xfId="529"/>
    <cellStyle name="60% - Акцент4 9 2" xfId="530"/>
    <cellStyle name="60% - Акцент5 2" xfId="531"/>
    <cellStyle name="60% - Акцент5 2 2" xfId="532"/>
    <cellStyle name="60% - Акцент5 3" xfId="533"/>
    <cellStyle name="60% - Акцент5 3 2" xfId="534"/>
    <cellStyle name="60% - Акцент5 4" xfId="535"/>
    <cellStyle name="60% - Акцент5 4 2" xfId="536"/>
    <cellStyle name="60% - Акцент5 5" xfId="537"/>
    <cellStyle name="60% - Акцент5 5 2" xfId="538"/>
    <cellStyle name="60% - Акцент5 6" xfId="539"/>
    <cellStyle name="60% - Акцент5 6 2" xfId="540"/>
    <cellStyle name="60% - Акцент5 7" xfId="541"/>
    <cellStyle name="60% - Акцент5 7 2" xfId="542"/>
    <cellStyle name="60% - Акцент5 8" xfId="543"/>
    <cellStyle name="60% - Акцент5 8 2" xfId="544"/>
    <cellStyle name="60% - Акцент5 9" xfId="545"/>
    <cellStyle name="60% - Акцент5 9 2" xfId="546"/>
    <cellStyle name="60% - Акцент6 2" xfId="547"/>
    <cellStyle name="60% - Акцент6 2 2" xfId="548"/>
    <cellStyle name="60% - Акцент6 3" xfId="549"/>
    <cellStyle name="60% - Акцент6 3 2" xfId="550"/>
    <cellStyle name="60% - Акцент6 4" xfId="551"/>
    <cellStyle name="60% - Акцент6 4 2" xfId="552"/>
    <cellStyle name="60% - Акцент6 5" xfId="553"/>
    <cellStyle name="60% - Акцент6 5 2" xfId="554"/>
    <cellStyle name="60% - Акцент6 6" xfId="555"/>
    <cellStyle name="60% - Акцент6 6 2" xfId="556"/>
    <cellStyle name="60% - Акцент6 7" xfId="557"/>
    <cellStyle name="60% - Акцент6 7 2" xfId="558"/>
    <cellStyle name="60% - Акцент6 8" xfId="559"/>
    <cellStyle name="60% - Акцент6 8 2" xfId="560"/>
    <cellStyle name="60% - Акцент6 9" xfId="561"/>
    <cellStyle name="60% - Акцент6 9 2" xfId="562"/>
    <cellStyle name="Aaia?iue [0]_?anoiau" xfId="563"/>
    <cellStyle name="Aaia?iue_?anoiau" xfId="564"/>
    <cellStyle name="Accent1" xfId="565"/>
    <cellStyle name="Accent2" xfId="566"/>
    <cellStyle name="Accent3" xfId="567"/>
    <cellStyle name="Accent4" xfId="568"/>
    <cellStyle name="Accent5" xfId="569"/>
    <cellStyle name="Accent6" xfId="570"/>
    <cellStyle name="Ăčďĺđńńűëęŕ" xfId="571"/>
    <cellStyle name="Aeia?nnueea" xfId="572"/>
    <cellStyle name="AFE" xfId="573"/>
    <cellStyle name="AFE 2" xfId="574"/>
    <cellStyle name="AFE_Копия ТНХ - ПОФ 2010 г version2 УКС от 30.07.2009" xfId="575"/>
    <cellStyle name="Áĺççŕůčňíűé" xfId="576"/>
    <cellStyle name="Äĺíĺćíűé [0]_(ňŕá 3č)" xfId="577"/>
    <cellStyle name="Äĺíĺćíűé_(ňŕá 3č)" xfId="578"/>
    <cellStyle name="Bad" xfId="579"/>
    <cellStyle name="Calc Currency (0)" xfId="580"/>
    <cellStyle name="Calculation" xfId="581"/>
    <cellStyle name="Check Cell" xfId="582"/>
    <cellStyle name="Comma [0]_0_Cash" xfId="583"/>
    <cellStyle name="Comma_0_Cash" xfId="584"/>
    <cellStyle name="Comma0" xfId="585"/>
    <cellStyle name="Çŕůčňíűé" xfId="586"/>
    <cellStyle name="Currency [0]" xfId="587"/>
    <cellStyle name="Currency [0] 2" xfId="588"/>
    <cellStyle name="Currency [0] 2 2" xfId="589"/>
    <cellStyle name="Currency [0] 2 3" xfId="590"/>
    <cellStyle name="Currency [0] 2 4" xfId="591"/>
    <cellStyle name="Currency [0] 2 5" xfId="592"/>
    <cellStyle name="Currency [0] 2 6" xfId="593"/>
    <cellStyle name="Currency [0] 2 7" xfId="594"/>
    <cellStyle name="Currency [0] 2 8" xfId="595"/>
    <cellStyle name="Currency [0] 3" xfId="596"/>
    <cellStyle name="Currency [0] 3 2" xfId="597"/>
    <cellStyle name="Currency [0] 3 3" xfId="598"/>
    <cellStyle name="Currency [0] 3 4" xfId="599"/>
    <cellStyle name="Currency [0] 3 5" xfId="600"/>
    <cellStyle name="Currency [0] 3 6" xfId="601"/>
    <cellStyle name="Currency [0] 3 7" xfId="602"/>
    <cellStyle name="Currency [0] 3 8" xfId="603"/>
    <cellStyle name="Currency [0] 4" xfId="604"/>
    <cellStyle name="Currency [0] 4 2" xfId="605"/>
    <cellStyle name="Currency [0] 4 3" xfId="606"/>
    <cellStyle name="Currency [0] 4 4" xfId="607"/>
    <cellStyle name="Currency [0] 4 5" xfId="608"/>
    <cellStyle name="Currency [0] 4 6" xfId="609"/>
    <cellStyle name="Currency [0] 4 7" xfId="610"/>
    <cellStyle name="Currency [0] 4 8" xfId="611"/>
    <cellStyle name="Currency [0] 5" xfId="612"/>
    <cellStyle name="Currency [0] 5 2" xfId="613"/>
    <cellStyle name="Currency [0] 5 3" xfId="614"/>
    <cellStyle name="Currency [0] 5 4" xfId="615"/>
    <cellStyle name="Currency [0] 5 5" xfId="616"/>
    <cellStyle name="Currency [0] 5 6" xfId="617"/>
    <cellStyle name="Currency [0] 5 7" xfId="618"/>
    <cellStyle name="Currency [0] 5 8" xfId="619"/>
    <cellStyle name="Currency [0] 6" xfId="620"/>
    <cellStyle name="Currency [0] 6 2" xfId="621"/>
    <cellStyle name="Currency [0] 7" xfId="622"/>
    <cellStyle name="Currency [0] 7 2" xfId="623"/>
    <cellStyle name="Currency [0] 8" xfId="624"/>
    <cellStyle name="Currency [0] 8 2" xfId="625"/>
    <cellStyle name="Currency [0]_0_Cash" xfId="626"/>
    <cellStyle name="Currency_0_Cash" xfId="627"/>
    <cellStyle name="Currency0" xfId="628"/>
    <cellStyle name="Date" xfId="629"/>
    <cellStyle name="Dates" xfId="630"/>
    <cellStyle name="E-mail" xfId="631"/>
    <cellStyle name="Euro" xfId="632"/>
    <cellStyle name="Explanatory Text" xfId="633"/>
    <cellStyle name="F2" xfId="634"/>
    <cellStyle name="F3" xfId="635"/>
    <cellStyle name="F4" xfId="636"/>
    <cellStyle name="F5" xfId="637"/>
    <cellStyle name="F6" xfId="638"/>
    <cellStyle name="F7" xfId="639"/>
    <cellStyle name="F8" xfId="640"/>
    <cellStyle name="Fixed" xfId="641"/>
    <cellStyle name="Followed Hyperlink_Draft-forms" xfId="642"/>
    <cellStyle name="Good" xfId="643"/>
    <cellStyle name="Header1" xfId="644"/>
    <cellStyle name="Header2" xfId="645"/>
    <cellStyle name="Heading" xfId="646"/>
    <cellStyle name="Heading 1" xfId="647"/>
    <cellStyle name="Heading 2" xfId="648"/>
    <cellStyle name="Heading 3" xfId="649"/>
    <cellStyle name="Heading 4" xfId="650"/>
    <cellStyle name="Heading2" xfId="651"/>
    <cellStyle name="Hyperlink_Tier 1" xfId="652"/>
    <cellStyle name="Iau?iue_?anoiau" xfId="653"/>
    <cellStyle name="Îáű÷íűé__FES" xfId="654"/>
    <cellStyle name="Îňęđűâŕâřŕ˙ń˙ ăčďĺđńńűëęŕ" xfId="655"/>
    <cellStyle name="Input" xfId="656"/>
    <cellStyle name="Inputs" xfId="657"/>
    <cellStyle name="Inputs (const)" xfId="658"/>
    <cellStyle name="Inputs Co" xfId="659"/>
    <cellStyle name="Inputs_BALANCE.WARM.2011YEAR.NEW.UPDATE.SCHEME" xfId="660"/>
    <cellStyle name="Ioe?uaaaoayny aeia?nnueea" xfId="661"/>
    <cellStyle name="ISO" xfId="662"/>
    <cellStyle name="Komma [0]_laroux" xfId="663"/>
    <cellStyle name="Komma_laroux" xfId="664"/>
    <cellStyle name="KOP" xfId="665"/>
    <cellStyle name="KOP2" xfId="666"/>
    <cellStyle name="KOPP" xfId="667"/>
    <cellStyle name="Linked Cell" xfId="668"/>
    <cellStyle name="Neutral" xfId="669"/>
    <cellStyle name="normal" xfId="670"/>
    <cellStyle name="Normal 2" xfId="671"/>
    <cellStyle name="normal 3" xfId="672"/>
    <cellStyle name="normal 4" xfId="673"/>
    <cellStyle name="normal 5" xfId="674"/>
    <cellStyle name="normal 6" xfId="675"/>
    <cellStyle name="normal 7" xfId="676"/>
    <cellStyle name="normal 8" xfId="677"/>
    <cellStyle name="normal 9" xfId="678"/>
    <cellStyle name="Normal_#10-Headcount" xfId="679"/>
    <cellStyle name="Normal1" xfId="680"/>
    <cellStyle name="normбlnм_laroux" xfId="681"/>
    <cellStyle name="Note" xfId="682"/>
    <cellStyle name="Nun??c [0]_a drainl" xfId="683"/>
    <cellStyle name="Nun??c_a drainl" xfId="684"/>
    <cellStyle name="Ňűń˙÷č [0]_â đŕáîňĺ" xfId="685"/>
    <cellStyle name="Ňűń˙÷č_â đŕáîňĺ" xfId="686"/>
    <cellStyle name="Ôčíŕíńîâűé [0]_(ňŕá 3č)" xfId="687"/>
    <cellStyle name="Ociriniaue [0]_Di?nicnleuir?" xfId="688"/>
    <cellStyle name="Ôčíŕíńîâűé_(ňŕá 3č)" xfId="689"/>
    <cellStyle name="Ociriniaue_Di?nicnleuir?" xfId="690"/>
    <cellStyle name="Oeiainiaue [0]_?anoiau" xfId="691"/>
    <cellStyle name="Oeiainiaue_?anoiau" xfId="692"/>
    <cellStyle name="Ouny?e [0]_?anoiau" xfId="693"/>
    <cellStyle name="Ouny?e_?anoiau" xfId="694"/>
    <cellStyle name="Output" xfId="695"/>
    <cellStyle name="p/n" xfId="696"/>
    <cellStyle name="Paaotsikko" xfId="697"/>
    <cellStyle name="Price_Body" xfId="698"/>
    <cellStyle name="Pддotsikko" xfId="699"/>
    <cellStyle name="REGEL" xfId="700"/>
    <cellStyle name="SAPBEXaggData" xfId="701"/>
    <cellStyle name="SAPBEXaggDataEmph" xfId="702"/>
    <cellStyle name="SAPBEXaggItem" xfId="703"/>
    <cellStyle name="SAPBEXaggItemX" xfId="704"/>
    <cellStyle name="SAPBEXchaText" xfId="705"/>
    <cellStyle name="SAPBEXexcBad7" xfId="706"/>
    <cellStyle name="SAPBEXexcBad8" xfId="707"/>
    <cellStyle name="SAPBEXexcBad9" xfId="708"/>
    <cellStyle name="SAPBEXexcCritical4" xfId="709"/>
    <cellStyle name="SAPBEXexcCritical5" xfId="710"/>
    <cellStyle name="SAPBEXexcCritical6" xfId="711"/>
    <cellStyle name="SAPBEXexcGood1" xfId="712"/>
    <cellStyle name="SAPBEXexcGood2" xfId="713"/>
    <cellStyle name="SAPBEXexcGood3" xfId="714"/>
    <cellStyle name="SAPBEXfilterDrill" xfId="715"/>
    <cellStyle name="SAPBEXfilterItem" xfId="716"/>
    <cellStyle name="SAPBEXfilterText" xfId="717"/>
    <cellStyle name="SAPBEXformats" xfId="718"/>
    <cellStyle name="SAPBEXheaderItem" xfId="719"/>
    <cellStyle name="SAPBEXheaderText" xfId="720"/>
    <cellStyle name="SAPBEXHLevel0" xfId="721"/>
    <cellStyle name="SAPBEXHLevel0X" xfId="722"/>
    <cellStyle name="SAPBEXHLevel1" xfId="723"/>
    <cellStyle name="SAPBEXHLevel1X" xfId="724"/>
    <cellStyle name="SAPBEXHLevel2" xfId="725"/>
    <cellStyle name="SAPBEXHLevel2X" xfId="726"/>
    <cellStyle name="SAPBEXHLevel3" xfId="727"/>
    <cellStyle name="SAPBEXHLevel3X" xfId="728"/>
    <cellStyle name="SAPBEXinputData" xfId="729"/>
    <cellStyle name="SAPBEXresData" xfId="730"/>
    <cellStyle name="SAPBEXresDataEmph" xfId="731"/>
    <cellStyle name="SAPBEXresItem" xfId="732"/>
    <cellStyle name="SAPBEXresItemX" xfId="733"/>
    <cellStyle name="SAPBEXstdData" xfId="734"/>
    <cellStyle name="SAPBEXstdDataEmph" xfId="735"/>
    <cellStyle name="SAPBEXstdItem" xfId="736"/>
    <cellStyle name="SAPBEXstdItemX" xfId="737"/>
    <cellStyle name="SAPBEXtitle" xfId="738"/>
    <cellStyle name="SAPBEXundefined" xfId="739"/>
    <cellStyle name="Standaard_laroux" xfId="740"/>
    <cellStyle name="Style 1" xfId="741"/>
    <cellStyle name="Table Heading" xfId="742"/>
    <cellStyle name="Title" xfId="743"/>
    <cellStyle name="Total" xfId="744"/>
    <cellStyle name="Valiotsikko" xfId="745"/>
    <cellStyle name="Valuta [0]_laroux" xfId="746"/>
    <cellStyle name="Valuta_laroux" xfId="747"/>
    <cellStyle name="Virgulă_Macheta buget" xfId="748"/>
    <cellStyle name="Vдliotsikko" xfId="749"/>
    <cellStyle name="Warning Text" xfId="750"/>
    <cellStyle name="Акцент1 2" xfId="751"/>
    <cellStyle name="Акцент1 2 2" xfId="752"/>
    <cellStyle name="Акцент1 3" xfId="753"/>
    <cellStyle name="Акцент1 3 2" xfId="754"/>
    <cellStyle name="Акцент1 4" xfId="755"/>
    <cellStyle name="Акцент1 4 2" xfId="756"/>
    <cellStyle name="Акцент1 5" xfId="757"/>
    <cellStyle name="Акцент1 5 2" xfId="758"/>
    <cellStyle name="Акцент1 6" xfId="759"/>
    <cellStyle name="Акцент1 6 2" xfId="760"/>
    <cellStyle name="Акцент1 7" xfId="761"/>
    <cellStyle name="Акцент1 7 2" xfId="762"/>
    <cellStyle name="Акцент1 8" xfId="763"/>
    <cellStyle name="Акцент1 8 2" xfId="764"/>
    <cellStyle name="Акцент1 9" xfId="765"/>
    <cellStyle name="Акцент1 9 2" xfId="766"/>
    <cellStyle name="Акцент2 2" xfId="767"/>
    <cellStyle name="Акцент2 2 2" xfId="768"/>
    <cellStyle name="Акцент2 3" xfId="769"/>
    <cellStyle name="Акцент2 3 2" xfId="770"/>
    <cellStyle name="Акцент2 4" xfId="771"/>
    <cellStyle name="Акцент2 4 2" xfId="772"/>
    <cellStyle name="Акцент2 5" xfId="773"/>
    <cellStyle name="Акцент2 5 2" xfId="774"/>
    <cellStyle name="Акцент2 6" xfId="775"/>
    <cellStyle name="Акцент2 6 2" xfId="776"/>
    <cellStyle name="Акцент2 7" xfId="777"/>
    <cellStyle name="Акцент2 7 2" xfId="778"/>
    <cellStyle name="Акцент2 8" xfId="779"/>
    <cellStyle name="Акцент2 8 2" xfId="780"/>
    <cellStyle name="Акцент2 9" xfId="781"/>
    <cellStyle name="Акцент2 9 2" xfId="782"/>
    <cellStyle name="Акцент3 2" xfId="783"/>
    <cellStyle name="Акцент3 2 2" xfId="784"/>
    <cellStyle name="Акцент3 3" xfId="785"/>
    <cellStyle name="Акцент3 3 2" xfId="786"/>
    <cellStyle name="Акцент3 4" xfId="787"/>
    <cellStyle name="Акцент3 4 2" xfId="788"/>
    <cellStyle name="Акцент3 5" xfId="789"/>
    <cellStyle name="Акцент3 5 2" xfId="790"/>
    <cellStyle name="Акцент3 6" xfId="791"/>
    <cellStyle name="Акцент3 6 2" xfId="792"/>
    <cellStyle name="Акцент3 7" xfId="793"/>
    <cellStyle name="Акцент3 7 2" xfId="794"/>
    <cellStyle name="Акцент3 8" xfId="795"/>
    <cellStyle name="Акцент3 8 2" xfId="796"/>
    <cellStyle name="Акцент3 9" xfId="797"/>
    <cellStyle name="Акцент3 9 2" xfId="798"/>
    <cellStyle name="Акцент4 2" xfId="799"/>
    <cellStyle name="Акцент4 2 2" xfId="800"/>
    <cellStyle name="Акцент4 3" xfId="801"/>
    <cellStyle name="Акцент4 3 2" xfId="802"/>
    <cellStyle name="Акцент4 4" xfId="803"/>
    <cellStyle name="Акцент4 4 2" xfId="804"/>
    <cellStyle name="Акцент4 5" xfId="805"/>
    <cellStyle name="Акцент4 5 2" xfId="806"/>
    <cellStyle name="Акцент4 6" xfId="807"/>
    <cellStyle name="Акцент4 6 2" xfId="808"/>
    <cellStyle name="Акцент4 7" xfId="809"/>
    <cellStyle name="Акцент4 7 2" xfId="810"/>
    <cellStyle name="Акцент4 8" xfId="811"/>
    <cellStyle name="Акцент4 8 2" xfId="812"/>
    <cellStyle name="Акцент4 9" xfId="813"/>
    <cellStyle name="Акцент4 9 2" xfId="814"/>
    <cellStyle name="Акцент5 2" xfId="815"/>
    <cellStyle name="Акцент5 2 2" xfId="816"/>
    <cellStyle name="Акцент5 3" xfId="817"/>
    <cellStyle name="Акцент5 3 2" xfId="818"/>
    <cellStyle name="Акцент5 4" xfId="819"/>
    <cellStyle name="Акцент5 4 2" xfId="820"/>
    <cellStyle name="Акцент5 5" xfId="821"/>
    <cellStyle name="Акцент5 5 2" xfId="822"/>
    <cellStyle name="Акцент5 6" xfId="823"/>
    <cellStyle name="Акцент5 6 2" xfId="824"/>
    <cellStyle name="Акцент5 7" xfId="825"/>
    <cellStyle name="Акцент5 7 2" xfId="826"/>
    <cellStyle name="Акцент5 8" xfId="827"/>
    <cellStyle name="Акцент5 8 2" xfId="828"/>
    <cellStyle name="Акцент5 9" xfId="829"/>
    <cellStyle name="Акцент5 9 2" xfId="830"/>
    <cellStyle name="Акцент6 2" xfId="831"/>
    <cellStyle name="Акцент6 2 2" xfId="832"/>
    <cellStyle name="Акцент6 3" xfId="833"/>
    <cellStyle name="Акцент6 3 2" xfId="834"/>
    <cellStyle name="Акцент6 4" xfId="835"/>
    <cellStyle name="Акцент6 4 2" xfId="836"/>
    <cellStyle name="Акцент6 5" xfId="837"/>
    <cellStyle name="Акцент6 5 2" xfId="838"/>
    <cellStyle name="Акцент6 6" xfId="839"/>
    <cellStyle name="Акцент6 6 2" xfId="840"/>
    <cellStyle name="Акцент6 7" xfId="841"/>
    <cellStyle name="Акцент6 7 2" xfId="842"/>
    <cellStyle name="Акцент6 8" xfId="843"/>
    <cellStyle name="Акцент6 8 2" xfId="844"/>
    <cellStyle name="Акцент6 9" xfId="845"/>
    <cellStyle name="Акцент6 9 2" xfId="846"/>
    <cellStyle name="Беззащитный" xfId="847"/>
    <cellStyle name="Ввод  2" xfId="848"/>
    <cellStyle name="Ввод  2 2" xfId="849"/>
    <cellStyle name="Ввод  2_OREP.KU.2011.PLAN(v1.2)" xfId="850"/>
    <cellStyle name="Ввод  3" xfId="851"/>
    <cellStyle name="Ввод  3 2" xfId="852"/>
    <cellStyle name="Ввод  3_OREP.KU.2011.PLAN(v1.2)" xfId="853"/>
    <cellStyle name="Ввод  4" xfId="854"/>
    <cellStyle name="Ввод  4 2" xfId="855"/>
    <cellStyle name="Ввод  4_OREP.KU.2011.PLAN(v1.2)" xfId="856"/>
    <cellStyle name="Ввод  5" xfId="857"/>
    <cellStyle name="Ввод  5 2" xfId="858"/>
    <cellStyle name="Ввод  5_OREP.KU.2011.PLAN(v1.2)" xfId="859"/>
    <cellStyle name="Ввод  6" xfId="860"/>
    <cellStyle name="Ввод  6 2" xfId="861"/>
    <cellStyle name="Ввод  6_OREP.KU.2011.PLAN(v1.2)" xfId="862"/>
    <cellStyle name="Ввод  7" xfId="863"/>
    <cellStyle name="Ввод  7 2" xfId="864"/>
    <cellStyle name="Ввод  7_OREP.KU.2011.PLAN(v1.2)" xfId="865"/>
    <cellStyle name="Ввод  8" xfId="866"/>
    <cellStyle name="Ввод  8 2" xfId="867"/>
    <cellStyle name="Ввод  8_OREP.KU.2011.PLAN(v1.2)" xfId="868"/>
    <cellStyle name="Ввод  9" xfId="869"/>
    <cellStyle name="Ввод  9 2" xfId="870"/>
    <cellStyle name="Ввод  9_OREP.KU.2011.PLAN(v1.2)" xfId="871"/>
    <cellStyle name="Вывод 2" xfId="872"/>
    <cellStyle name="Вывод 2 2" xfId="873"/>
    <cellStyle name="Вывод 2_OREP.KU.2011.PLAN(v1.2)" xfId="874"/>
    <cellStyle name="Вывод 3" xfId="875"/>
    <cellStyle name="Вывод 3 2" xfId="876"/>
    <cellStyle name="Вывод 3_OREP.KU.2011.PLAN(v1.2)" xfId="877"/>
    <cellStyle name="Вывод 4" xfId="878"/>
    <cellStyle name="Вывод 4 2" xfId="879"/>
    <cellStyle name="Вывод 4_OREP.KU.2011.PLAN(v1.2)" xfId="880"/>
    <cellStyle name="Вывод 5" xfId="881"/>
    <cellStyle name="Вывод 5 2" xfId="882"/>
    <cellStyle name="Вывод 5_OREP.KU.2011.PLAN(v1.2)" xfId="883"/>
    <cellStyle name="Вывод 6" xfId="884"/>
    <cellStyle name="Вывод 6 2" xfId="885"/>
    <cellStyle name="Вывод 6_OREP.KU.2011.PLAN(v1.2)" xfId="886"/>
    <cellStyle name="Вывод 7" xfId="887"/>
    <cellStyle name="Вывод 7 2" xfId="888"/>
    <cellStyle name="Вывод 7_OREP.KU.2011.PLAN(v1.2)" xfId="889"/>
    <cellStyle name="Вывод 8" xfId="890"/>
    <cellStyle name="Вывод 8 2" xfId="891"/>
    <cellStyle name="Вывод 8_OREP.KU.2011.PLAN(v1.2)" xfId="892"/>
    <cellStyle name="Вывод 9" xfId="893"/>
    <cellStyle name="Вывод 9 2" xfId="894"/>
    <cellStyle name="Вывод 9_OREP.KU.2011.PLAN(v1.2)" xfId="895"/>
    <cellStyle name="Вычисление 2" xfId="896"/>
    <cellStyle name="Вычисление 2 2" xfId="897"/>
    <cellStyle name="Вычисление 2_OREP.KU.2011.PLAN(v1.2)" xfId="898"/>
    <cellStyle name="Вычисление 3" xfId="899"/>
    <cellStyle name="Вычисление 3 2" xfId="900"/>
    <cellStyle name="Вычисление 3_OREP.KU.2011.PLAN(v1.2)" xfId="901"/>
    <cellStyle name="Вычисление 4" xfId="902"/>
    <cellStyle name="Вычисление 4 2" xfId="903"/>
    <cellStyle name="Вычисление 4_OREP.KU.2011.PLAN(v1.2)" xfId="904"/>
    <cellStyle name="Вычисление 5" xfId="905"/>
    <cellStyle name="Вычисление 5 2" xfId="906"/>
    <cellStyle name="Вычисление 5_OREP.KU.2011.PLAN(v1.2)" xfId="907"/>
    <cellStyle name="Вычисление 6" xfId="908"/>
    <cellStyle name="Вычисление 6 2" xfId="909"/>
    <cellStyle name="Вычисление 6_OREP.KU.2011.PLAN(v1.2)" xfId="910"/>
    <cellStyle name="Вычисление 7" xfId="911"/>
    <cellStyle name="Вычисление 7 2" xfId="912"/>
    <cellStyle name="Вычисление 7_OREP.KU.2011.PLAN(v1.2)" xfId="913"/>
    <cellStyle name="Вычисление 8" xfId="914"/>
    <cellStyle name="Вычисление 8 2" xfId="915"/>
    <cellStyle name="Вычисление 8_OREP.KU.2011.PLAN(v1.2)" xfId="916"/>
    <cellStyle name="Вычисление 9" xfId="917"/>
    <cellStyle name="Вычисление 9 2" xfId="918"/>
    <cellStyle name="Вычисление 9_OREP.KU.2011.PLAN(v1.2)" xfId="919"/>
    <cellStyle name="Гиперссылка 2" xfId="920"/>
    <cellStyle name="Гиперссылка 3" xfId="921"/>
    <cellStyle name="ДАТА" xfId="922"/>
    <cellStyle name="ДАТА 2" xfId="923"/>
    <cellStyle name="ДАТА 3" xfId="924"/>
    <cellStyle name="ДАТА 4" xfId="925"/>
    <cellStyle name="ДАТА 5" xfId="926"/>
    <cellStyle name="ДАТА 6" xfId="927"/>
    <cellStyle name="ДАТА 7" xfId="928"/>
    <cellStyle name="ДАТА 8" xfId="929"/>
    <cellStyle name="ДАТА_1" xfId="930"/>
    <cellStyle name="Денежный" xfId="931" builtinId="4"/>
    <cellStyle name="Денежный 2" xfId="932"/>
    <cellStyle name="Заголовок" xfId="933"/>
    <cellStyle name="Заголовок 1 2" xfId="934"/>
    <cellStyle name="Заголовок 1 2 2" xfId="935"/>
    <cellStyle name="Заголовок 1 2_OREP.KU.2011.PLAN(v1.2)" xfId="936"/>
    <cellStyle name="Заголовок 1 3" xfId="937"/>
    <cellStyle name="Заголовок 1 3 2" xfId="938"/>
    <cellStyle name="Заголовок 1 3_OREP.KU.2011.PLAN(v1.2)" xfId="939"/>
    <cellStyle name="Заголовок 1 4" xfId="940"/>
    <cellStyle name="Заголовок 1 4 2" xfId="941"/>
    <cellStyle name="Заголовок 1 4_OREP.KU.2011.PLAN(v1.2)" xfId="942"/>
    <cellStyle name="Заголовок 1 5" xfId="943"/>
    <cellStyle name="Заголовок 1 5 2" xfId="944"/>
    <cellStyle name="Заголовок 1 5_OREP.KU.2011.PLAN(v1.2)" xfId="945"/>
    <cellStyle name="Заголовок 1 6" xfId="946"/>
    <cellStyle name="Заголовок 1 6 2" xfId="947"/>
    <cellStyle name="Заголовок 1 6_OREP.KU.2011.PLAN(v1.2)" xfId="948"/>
    <cellStyle name="Заголовок 1 7" xfId="949"/>
    <cellStyle name="Заголовок 1 7 2" xfId="950"/>
    <cellStyle name="Заголовок 1 7_OREP.KU.2011.PLAN(v1.2)" xfId="951"/>
    <cellStyle name="Заголовок 1 8" xfId="952"/>
    <cellStyle name="Заголовок 1 8 2" xfId="953"/>
    <cellStyle name="Заголовок 1 8_OREP.KU.2011.PLAN(v1.2)" xfId="954"/>
    <cellStyle name="Заголовок 1 9" xfId="955"/>
    <cellStyle name="Заголовок 1 9 2" xfId="956"/>
    <cellStyle name="Заголовок 1 9_OREP.KU.2011.PLAN(v1.2)" xfId="957"/>
    <cellStyle name="Заголовок 2 2" xfId="958"/>
    <cellStyle name="Заголовок 2 2 2" xfId="959"/>
    <cellStyle name="Заголовок 2 2_OREP.KU.2011.PLAN(v1.2)" xfId="960"/>
    <cellStyle name="Заголовок 2 3" xfId="961"/>
    <cellStyle name="Заголовок 2 3 2" xfId="962"/>
    <cellStyle name="Заголовок 2 3_OREP.KU.2011.PLAN(v1.2)" xfId="963"/>
    <cellStyle name="Заголовок 2 4" xfId="964"/>
    <cellStyle name="Заголовок 2 4 2" xfId="965"/>
    <cellStyle name="Заголовок 2 4_OREP.KU.2011.PLAN(v1.2)" xfId="966"/>
    <cellStyle name="Заголовок 2 5" xfId="967"/>
    <cellStyle name="Заголовок 2 5 2" xfId="968"/>
    <cellStyle name="Заголовок 2 5_OREP.KU.2011.PLAN(v1.2)" xfId="969"/>
    <cellStyle name="Заголовок 2 6" xfId="970"/>
    <cellStyle name="Заголовок 2 6 2" xfId="971"/>
    <cellStyle name="Заголовок 2 6_OREP.KU.2011.PLAN(v1.2)" xfId="972"/>
    <cellStyle name="Заголовок 2 7" xfId="973"/>
    <cellStyle name="Заголовок 2 7 2" xfId="974"/>
    <cellStyle name="Заголовок 2 7_OREP.KU.2011.PLAN(v1.2)" xfId="975"/>
    <cellStyle name="Заголовок 2 8" xfId="976"/>
    <cellStyle name="Заголовок 2 8 2" xfId="977"/>
    <cellStyle name="Заголовок 2 8_OREP.KU.2011.PLAN(v1.2)" xfId="978"/>
    <cellStyle name="Заголовок 2 9" xfId="979"/>
    <cellStyle name="Заголовок 2 9 2" xfId="980"/>
    <cellStyle name="Заголовок 2 9_OREP.KU.2011.PLAN(v1.2)" xfId="981"/>
    <cellStyle name="Заголовок 3 2" xfId="982"/>
    <cellStyle name="Заголовок 3 2 2" xfId="983"/>
    <cellStyle name="Заголовок 3 2_OREP.KU.2011.PLAN(v1.2)" xfId="984"/>
    <cellStyle name="Заголовок 3 3" xfId="985"/>
    <cellStyle name="Заголовок 3 3 2" xfId="986"/>
    <cellStyle name="Заголовок 3 3_OREP.KU.2011.PLAN(v1.2)" xfId="987"/>
    <cellStyle name="Заголовок 3 4" xfId="988"/>
    <cellStyle name="Заголовок 3 4 2" xfId="989"/>
    <cellStyle name="Заголовок 3 4_OREP.KU.2011.PLAN(v1.2)" xfId="990"/>
    <cellStyle name="Заголовок 3 5" xfId="991"/>
    <cellStyle name="Заголовок 3 5 2" xfId="992"/>
    <cellStyle name="Заголовок 3 5_OREP.KU.2011.PLAN(v1.2)" xfId="993"/>
    <cellStyle name="Заголовок 3 6" xfId="994"/>
    <cellStyle name="Заголовок 3 6 2" xfId="995"/>
    <cellStyle name="Заголовок 3 6_OREP.KU.2011.PLAN(v1.2)" xfId="996"/>
    <cellStyle name="Заголовок 3 7" xfId="997"/>
    <cellStyle name="Заголовок 3 7 2" xfId="998"/>
    <cellStyle name="Заголовок 3 7_OREP.KU.2011.PLAN(v1.2)" xfId="999"/>
    <cellStyle name="Заголовок 3 8" xfId="1000"/>
    <cellStyle name="Заголовок 3 8 2" xfId="1001"/>
    <cellStyle name="Заголовок 3 8_OREP.KU.2011.PLAN(v1.2)" xfId="1002"/>
    <cellStyle name="Заголовок 3 9" xfId="1003"/>
    <cellStyle name="Заголовок 3 9 2" xfId="1004"/>
    <cellStyle name="Заголовок 3 9_OREP.KU.2011.PLAN(v1.2)" xfId="1005"/>
    <cellStyle name="Заголовок 4 2" xfId="1006"/>
    <cellStyle name="Заголовок 4 2 2" xfId="1007"/>
    <cellStyle name="Заголовок 4 3" xfId="1008"/>
    <cellStyle name="Заголовок 4 3 2" xfId="1009"/>
    <cellStyle name="Заголовок 4 4" xfId="1010"/>
    <cellStyle name="Заголовок 4 4 2" xfId="1011"/>
    <cellStyle name="Заголовок 4 5" xfId="1012"/>
    <cellStyle name="Заголовок 4 5 2" xfId="1013"/>
    <cellStyle name="Заголовок 4 6" xfId="1014"/>
    <cellStyle name="Заголовок 4 6 2" xfId="1015"/>
    <cellStyle name="Заголовок 4 7" xfId="1016"/>
    <cellStyle name="Заголовок 4 7 2" xfId="1017"/>
    <cellStyle name="Заголовок 4 8" xfId="1018"/>
    <cellStyle name="Заголовок 4 8 2" xfId="1019"/>
    <cellStyle name="Заголовок 4 9" xfId="1020"/>
    <cellStyle name="Заголовок 4 9 2" xfId="1021"/>
    <cellStyle name="Заголовок 5" xfId="1022"/>
    <cellStyle name="ЗАГОЛОВОК1" xfId="1023"/>
    <cellStyle name="ЗАГОЛОВОК2" xfId="1024"/>
    <cellStyle name="ЗаголовокСтолбца" xfId="1025"/>
    <cellStyle name="Защитный" xfId="1026"/>
    <cellStyle name="Значение" xfId="1027"/>
    <cellStyle name="Зоголовок" xfId="1028"/>
    <cellStyle name="Итог 2" xfId="1029"/>
    <cellStyle name="Итог 2 2" xfId="1030"/>
    <cellStyle name="Итог 2_OREP.KU.2011.PLAN(v1.2)" xfId="1031"/>
    <cellStyle name="Итог 3" xfId="1032"/>
    <cellStyle name="Итог 3 2" xfId="1033"/>
    <cellStyle name="Итог 3_OREP.KU.2011.PLAN(v1.2)" xfId="1034"/>
    <cellStyle name="Итог 4" xfId="1035"/>
    <cellStyle name="Итог 4 2" xfId="1036"/>
    <cellStyle name="Итог 4_OREP.KU.2011.PLAN(v1.2)" xfId="1037"/>
    <cellStyle name="Итог 5" xfId="1038"/>
    <cellStyle name="Итог 5 2" xfId="1039"/>
    <cellStyle name="Итог 5_OREP.KU.2011.PLAN(v1.2)" xfId="1040"/>
    <cellStyle name="Итог 6" xfId="1041"/>
    <cellStyle name="Итог 6 2" xfId="1042"/>
    <cellStyle name="Итог 6_OREP.KU.2011.PLAN(v1.2)" xfId="1043"/>
    <cellStyle name="Итог 7" xfId="1044"/>
    <cellStyle name="Итог 7 2" xfId="1045"/>
    <cellStyle name="Итог 7_OREP.KU.2011.PLAN(v1.2)" xfId="1046"/>
    <cellStyle name="Итог 8" xfId="1047"/>
    <cellStyle name="Итог 8 2" xfId="1048"/>
    <cellStyle name="Итог 8_OREP.KU.2011.PLAN(v1.2)" xfId="1049"/>
    <cellStyle name="Итог 9" xfId="1050"/>
    <cellStyle name="Итог 9 2" xfId="1051"/>
    <cellStyle name="Итог 9_OREP.KU.2011.PLAN(v1.2)" xfId="1052"/>
    <cellStyle name="Итого" xfId="1053"/>
    <cellStyle name="ИТОГОВЫЙ" xfId="1054"/>
    <cellStyle name="ИТОГОВЫЙ 2" xfId="1055"/>
    <cellStyle name="ИТОГОВЫЙ 3" xfId="1056"/>
    <cellStyle name="ИТОГОВЫЙ 4" xfId="1057"/>
    <cellStyle name="ИТОГОВЫЙ 5" xfId="1058"/>
    <cellStyle name="ИТОГОВЫЙ 6" xfId="1059"/>
    <cellStyle name="ИТОГОВЫЙ 7" xfId="1060"/>
    <cellStyle name="ИТОГОВЫЙ 8" xfId="1061"/>
    <cellStyle name="ИТОГОВЫЙ_1" xfId="1062"/>
    <cellStyle name="Контрольная ячейка 2" xfId="1063"/>
    <cellStyle name="Контрольная ячейка 2 2" xfId="1064"/>
    <cellStyle name="Контрольная ячейка 2_OREP.KU.2011.PLAN(v1.2)" xfId="1065"/>
    <cellStyle name="Контрольная ячейка 3" xfId="1066"/>
    <cellStyle name="Контрольная ячейка 3 2" xfId="1067"/>
    <cellStyle name="Контрольная ячейка 3_OREP.KU.2011.PLAN(v1.2)" xfId="1068"/>
    <cellStyle name="Контрольная ячейка 4" xfId="1069"/>
    <cellStyle name="Контрольная ячейка 4 2" xfId="1070"/>
    <cellStyle name="Контрольная ячейка 4_OREP.KU.2011.PLAN(v1.2)" xfId="1071"/>
    <cellStyle name="Контрольная ячейка 5" xfId="1072"/>
    <cellStyle name="Контрольная ячейка 5 2" xfId="1073"/>
    <cellStyle name="Контрольная ячейка 5_OREP.KU.2011.PLAN(v1.2)" xfId="1074"/>
    <cellStyle name="Контрольная ячейка 6" xfId="1075"/>
    <cellStyle name="Контрольная ячейка 6 2" xfId="1076"/>
    <cellStyle name="Контрольная ячейка 6_OREP.KU.2011.PLAN(v1.2)" xfId="1077"/>
    <cellStyle name="Контрольная ячейка 7" xfId="1078"/>
    <cellStyle name="Контрольная ячейка 7 2" xfId="1079"/>
    <cellStyle name="Контрольная ячейка 7_OREP.KU.2011.PLAN(v1.2)" xfId="1080"/>
    <cellStyle name="Контрольная ячейка 8" xfId="1081"/>
    <cellStyle name="Контрольная ячейка 8 2" xfId="1082"/>
    <cellStyle name="Контрольная ячейка 8_OREP.KU.2011.PLAN(v1.2)" xfId="1083"/>
    <cellStyle name="Контрольная ячейка 9" xfId="1084"/>
    <cellStyle name="Контрольная ячейка 9 2" xfId="1085"/>
    <cellStyle name="Контрольная ячейка 9_OREP.KU.2011.PLAN(v1.2)" xfId="1086"/>
    <cellStyle name="Мбычный_Регламент 2000 проект1" xfId="1087"/>
    <cellStyle name="Мой заголовок" xfId="1135"/>
    <cellStyle name="Мой заголовок листа" xfId="1136"/>
    <cellStyle name="Мои наименования показателей" xfId="1088"/>
    <cellStyle name="Мои наименования показателей 2" xfId="1089"/>
    <cellStyle name="Мои наименования показателей 2 2" xfId="1090"/>
    <cellStyle name="Мои наименования показателей 2 3" xfId="1091"/>
    <cellStyle name="Мои наименования показателей 2 4" xfId="1092"/>
    <cellStyle name="Мои наименования показателей 2 5" xfId="1093"/>
    <cellStyle name="Мои наименования показателей 2 6" xfId="1094"/>
    <cellStyle name="Мои наименования показателей 2 7" xfId="1095"/>
    <cellStyle name="Мои наименования показателей 2 8" xfId="1096"/>
    <cellStyle name="Мои наименования показателей 2_1" xfId="1097"/>
    <cellStyle name="Мои наименования показателей 3" xfId="1098"/>
    <cellStyle name="Мои наименования показателей 3 2" xfId="1099"/>
    <cellStyle name="Мои наименования показателей 3 3" xfId="1100"/>
    <cellStyle name="Мои наименования показателей 3 4" xfId="1101"/>
    <cellStyle name="Мои наименования показателей 3 5" xfId="1102"/>
    <cellStyle name="Мои наименования показателей 3 6" xfId="1103"/>
    <cellStyle name="Мои наименования показателей 3 7" xfId="1104"/>
    <cellStyle name="Мои наименования показателей 3 8" xfId="1105"/>
    <cellStyle name="Мои наименования показателей 3_1" xfId="1106"/>
    <cellStyle name="Мои наименования показателей 4" xfId="1107"/>
    <cellStyle name="Мои наименования показателей 4 2" xfId="1108"/>
    <cellStyle name="Мои наименования показателей 4 3" xfId="1109"/>
    <cellStyle name="Мои наименования показателей 4 4" xfId="1110"/>
    <cellStyle name="Мои наименования показателей 4 5" xfId="1111"/>
    <cellStyle name="Мои наименования показателей 4 6" xfId="1112"/>
    <cellStyle name="Мои наименования показателей 4 7" xfId="1113"/>
    <cellStyle name="Мои наименования показателей 4 8" xfId="1114"/>
    <cellStyle name="Мои наименования показателей 4_1" xfId="1115"/>
    <cellStyle name="Мои наименования показателей 5" xfId="1116"/>
    <cellStyle name="Мои наименования показателей 5 2" xfId="1117"/>
    <cellStyle name="Мои наименования показателей 5 3" xfId="1118"/>
    <cellStyle name="Мои наименования показателей 5 4" xfId="1119"/>
    <cellStyle name="Мои наименования показателей 5 5" xfId="1120"/>
    <cellStyle name="Мои наименования показателей 5 6" xfId="1121"/>
    <cellStyle name="Мои наименования показателей 5 7" xfId="1122"/>
    <cellStyle name="Мои наименования показателей 5 8" xfId="1123"/>
    <cellStyle name="Мои наименования показателей 5_1" xfId="1124"/>
    <cellStyle name="Мои наименования показателей 6" xfId="1125"/>
    <cellStyle name="Мои наименования показателей 6 2" xfId="1126"/>
    <cellStyle name="Мои наименования показателей 6_TSET.NET.2.02" xfId="1127"/>
    <cellStyle name="Мои наименования показателей 7" xfId="1128"/>
    <cellStyle name="Мои наименования показателей 7 2" xfId="1129"/>
    <cellStyle name="Мои наименования показателей 7_TSET.NET.2.02" xfId="1130"/>
    <cellStyle name="Мои наименования показателей 8" xfId="1131"/>
    <cellStyle name="Мои наименования показателей 8 2" xfId="1132"/>
    <cellStyle name="Мои наименования показателей 8_TSET.NET.2.02" xfId="1133"/>
    <cellStyle name="Мои наименования показателей_46TE.RT(v1.0)" xfId="1134"/>
    <cellStyle name="назв фил" xfId="1137"/>
    <cellStyle name="Название 2" xfId="1138"/>
    <cellStyle name="Название 2 2" xfId="1139"/>
    <cellStyle name="Название 3" xfId="1140"/>
    <cellStyle name="Название 3 2" xfId="1141"/>
    <cellStyle name="Название 4" xfId="1142"/>
    <cellStyle name="Название 4 2" xfId="1143"/>
    <cellStyle name="Название 5" xfId="1144"/>
    <cellStyle name="Название 5 2" xfId="1145"/>
    <cellStyle name="Название 6" xfId="1146"/>
    <cellStyle name="Название 6 2" xfId="1147"/>
    <cellStyle name="Название 7" xfId="1148"/>
    <cellStyle name="Название 7 2" xfId="1149"/>
    <cellStyle name="Название 8" xfId="1150"/>
    <cellStyle name="Название 8 2" xfId="1151"/>
    <cellStyle name="Название 9" xfId="1152"/>
    <cellStyle name="Название 9 2" xfId="1153"/>
    <cellStyle name="Нейтральный 2" xfId="1154"/>
    <cellStyle name="Нейтральный 2 2" xfId="1155"/>
    <cellStyle name="Нейтральный 3" xfId="1156"/>
    <cellStyle name="Нейтральный 3 2" xfId="1157"/>
    <cellStyle name="Нейтральный 4" xfId="1158"/>
    <cellStyle name="Нейтральный 4 2" xfId="1159"/>
    <cellStyle name="Нейтральный 5" xfId="1160"/>
    <cellStyle name="Нейтральный 5 2" xfId="1161"/>
    <cellStyle name="Нейтральный 6" xfId="1162"/>
    <cellStyle name="Нейтральный 6 2" xfId="1163"/>
    <cellStyle name="Нейтральный 7" xfId="1164"/>
    <cellStyle name="Нейтральный 7 2" xfId="1165"/>
    <cellStyle name="Нейтральный 8" xfId="1166"/>
    <cellStyle name="Нейтральный 8 2" xfId="1167"/>
    <cellStyle name="Нейтральный 9" xfId="1168"/>
    <cellStyle name="Нейтральный 9 2" xfId="1169"/>
    <cellStyle name="Обычный" xfId="0" builtinId="0"/>
    <cellStyle name="Обычный 10" xfId="1170"/>
    <cellStyle name="Обычный 11" xfId="1171"/>
    <cellStyle name="Обычный 12" xfId="1172"/>
    <cellStyle name="Обычный 12 2" xfId="1173"/>
    <cellStyle name="Обычный 14" xfId="1174"/>
    <cellStyle name="Обычный 14 2" xfId="1436"/>
    <cellStyle name="Обычный 2" xfId="1175"/>
    <cellStyle name="Обычный 2 2" xfId="1176"/>
    <cellStyle name="Обычный 2 2 10" xfId="1177"/>
    <cellStyle name="Обычный 2 2 2" xfId="1178"/>
    <cellStyle name="Обычный 2 2 2 2" xfId="1179"/>
    <cellStyle name="Обычный 2 2 2 2 2" xfId="1430"/>
    <cellStyle name="Обычный 2 2 2 3" xfId="1431"/>
    <cellStyle name="Обычный 2 2_BALANCE.WARM.2011YEAR.NEW.UPDATE.SCHEME" xfId="1180"/>
    <cellStyle name="Обычный 2 3" xfId="1181"/>
    <cellStyle name="Обычный 2 3 2" xfId="1182"/>
    <cellStyle name="Обычный 2 3 3" xfId="1434"/>
    <cellStyle name="Обычный 2 3_BALANCE.WARM.2011YEAR.NEW.UPDATE.SCHEME" xfId="1183"/>
    <cellStyle name="Обычный 2 4" xfId="1184"/>
    <cellStyle name="Обычный 2 4 2" xfId="1185"/>
    <cellStyle name="Обычный 2 4_BALANCE.WARM.2011YEAR.NEW.UPDATE.SCHEME" xfId="1186"/>
    <cellStyle name="Обычный 2 5" xfId="1187"/>
    <cellStyle name="Обычный 2 5 2" xfId="1188"/>
    <cellStyle name="Обычный 2 5_BALANCE.WARM.2011YEAR.NEW.UPDATE.SCHEME" xfId="1189"/>
    <cellStyle name="Обычный 2 6" xfId="1190"/>
    <cellStyle name="Обычный 2 6 2" xfId="1191"/>
    <cellStyle name="Обычный 2 6_BALANCE.WARM.2011YEAR.NEW.UPDATE.SCHEME" xfId="1192"/>
    <cellStyle name="Обычный 2 7" xfId="1193"/>
    <cellStyle name="Обычный 2_1" xfId="1194"/>
    <cellStyle name="Обычный 2_НВВ - сети долгосрочный (15.07) - передано на оформление 2" xfId="1195"/>
    <cellStyle name="Обычный 3" xfId="1196"/>
    <cellStyle name="Обычный 3 2" xfId="1197"/>
    <cellStyle name="Обычный 3 3" xfId="1198"/>
    <cellStyle name="Обычный 3_20 пакет Форма по зарплате по каждой ЭВС (2)" xfId="1199"/>
    <cellStyle name="Обычный 4" xfId="1200"/>
    <cellStyle name="Обычный 4 2" xfId="1201"/>
    <cellStyle name="Обычный 4_EE.20.MET.SVOD.2.73_v0.1" xfId="1202"/>
    <cellStyle name="Обычный 5" xfId="1203"/>
    <cellStyle name="Обычный 5 2" xfId="1204"/>
    <cellStyle name="Обычный 5_Расход электроэнергии" xfId="1205"/>
    <cellStyle name="Обычный 6" xfId="1206"/>
    <cellStyle name="Обычный 7" xfId="1207"/>
    <cellStyle name="Обычный 8" xfId="1208"/>
    <cellStyle name="Обычный 8 2" xfId="1432"/>
    <cellStyle name="Обычный 8 2 2" xfId="1435"/>
    <cellStyle name="Обычный 9" xfId="1209"/>
    <cellStyle name="Обычный_двухставочн хворостянка 2" xfId="1210"/>
    <cellStyle name="Обычный_др. р 2" xfId="1211"/>
    <cellStyle name="Обычный_Приложения к договору" xfId="1212"/>
    <cellStyle name="Обычный_Сведения об отпуске (передаче) электроэнергии потребителям распределительными сетевыми организациями" xfId="1213"/>
    <cellStyle name="Обычный_тарифы на 2002г с 1-01" xfId="1428"/>
    <cellStyle name="Обычный_Тепло" xfId="1214"/>
    <cellStyle name="Обычный_Тепло Самарское РНУ 2010 г." xfId="1215"/>
    <cellStyle name="Обычный_Факт.кальк.САМЕКО(11мес) (2)" xfId="1216"/>
    <cellStyle name="Обычный_Факт.кальк.САМЕКО(11мес) (2) 2" xfId="1217"/>
    <cellStyle name="Обычный_Эксперт Прометей" xfId="1218"/>
    <cellStyle name="Обычнын_Ф2.тыс.руб" xfId="1219"/>
    <cellStyle name="Плохой 2" xfId="1220"/>
    <cellStyle name="Плохой 2 2" xfId="1221"/>
    <cellStyle name="Плохой 3" xfId="1222"/>
    <cellStyle name="Плохой 3 2" xfId="1223"/>
    <cellStyle name="Плохой 4" xfId="1224"/>
    <cellStyle name="Плохой 4 2" xfId="1225"/>
    <cellStyle name="Плохой 5" xfId="1226"/>
    <cellStyle name="Плохой 5 2" xfId="1227"/>
    <cellStyle name="Плохой 6" xfId="1228"/>
    <cellStyle name="Плохой 6 2" xfId="1229"/>
    <cellStyle name="Плохой 7" xfId="1230"/>
    <cellStyle name="Плохой 7 2" xfId="1231"/>
    <cellStyle name="Плохой 8" xfId="1232"/>
    <cellStyle name="Плохой 8 2" xfId="1233"/>
    <cellStyle name="Плохой 9" xfId="1234"/>
    <cellStyle name="Плохой 9 2" xfId="1235"/>
    <cellStyle name="По центру с переносом" xfId="1236"/>
    <cellStyle name="По ширине с переносом" xfId="1237"/>
    <cellStyle name="Поле ввода" xfId="1238"/>
    <cellStyle name="Пояснение 2" xfId="1239"/>
    <cellStyle name="Пояснение 2 2" xfId="1240"/>
    <cellStyle name="Пояснение 3" xfId="1241"/>
    <cellStyle name="Пояснение 3 2" xfId="1242"/>
    <cellStyle name="Пояснение 4" xfId="1243"/>
    <cellStyle name="Пояснение 4 2" xfId="1244"/>
    <cellStyle name="Пояснение 5" xfId="1245"/>
    <cellStyle name="Пояснение 5 2" xfId="1246"/>
    <cellStyle name="Пояснение 6" xfId="1247"/>
    <cellStyle name="Пояснение 6 2" xfId="1248"/>
    <cellStyle name="Пояснение 7" xfId="1249"/>
    <cellStyle name="Пояснение 7 2" xfId="1250"/>
    <cellStyle name="Пояснение 8" xfId="1251"/>
    <cellStyle name="Пояснение 8 2" xfId="1252"/>
    <cellStyle name="Пояснение 9" xfId="1253"/>
    <cellStyle name="Пояснение 9 2" xfId="1254"/>
    <cellStyle name="Примечание 10" xfId="1255"/>
    <cellStyle name="Примечание 10 2" xfId="1256"/>
    <cellStyle name="Примечание 10_OREP.KU.2011.PLAN(v1.2)" xfId="1257"/>
    <cellStyle name="Примечание 11" xfId="1258"/>
    <cellStyle name="Примечание 11 2" xfId="1259"/>
    <cellStyle name="Примечание 11_OREP.KU.2011.PLAN(v1.2)" xfId="1260"/>
    <cellStyle name="Примечание 12" xfId="1261"/>
    <cellStyle name="Примечание 12 2" xfId="1262"/>
    <cellStyle name="Примечание 12_OREP.KU.2011.PLAN(v1.2)" xfId="1263"/>
    <cellStyle name="Примечание 2" xfId="1264"/>
    <cellStyle name="Примечание 2 2" xfId="1265"/>
    <cellStyle name="Примечание 2 3" xfId="1266"/>
    <cellStyle name="Примечание 2 4" xfId="1267"/>
    <cellStyle name="Примечание 2 5" xfId="1268"/>
    <cellStyle name="Примечание 2 6" xfId="1269"/>
    <cellStyle name="Примечание 2 7" xfId="1270"/>
    <cellStyle name="Примечание 2 8" xfId="1271"/>
    <cellStyle name="Примечание 2_OREP.KU.2011.PLAN(v1.0)" xfId="1272"/>
    <cellStyle name="Примечание 3" xfId="1273"/>
    <cellStyle name="Примечание 3 2" xfId="1274"/>
    <cellStyle name="Примечание 3 3" xfId="1275"/>
    <cellStyle name="Примечание 3 4" xfId="1276"/>
    <cellStyle name="Примечание 3 5" xfId="1277"/>
    <cellStyle name="Примечание 3 6" xfId="1278"/>
    <cellStyle name="Примечание 3 7" xfId="1279"/>
    <cellStyle name="Примечание 3 8" xfId="1280"/>
    <cellStyle name="Примечание 3_OREP.KU.2011.PLAN(v1.0)" xfId="1281"/>
    <cellStyle name="Примечание 4" xfId="1282"/>
    <cellStyle name="Примечание 4 2" xfId="1283"/>
    <cellStyle name="Примечание 4 3" xfId="1284"/>
    <cellStyle name="Примечание 4 4" xfId="1285"/>
    <cellStyle name="Примечание 4 5" xfId="1286"/>
    <cellStyle name="Примечание 4 6" xfId="1287"/>
    <cellStyle name="Примечание 4 7" xfId="1288"/>
    <cellStyle name="Примечание 4 8" xfId="1289"/>
    <cellStyle name="Примечание 4_OREP.KU.2011.PLAN(v1.0)" xfId="1290"/>
    <cellStyle name="Примечание 5" xfId="1291"/>
    <cellStyle name="Примечание 5 2" xfId="1292"/>
    <cellStyle name="Примечание 5 3" xfId="1293"/>
    <cellStyle name="Примечание 5 4" xfId="1294"/>
    <cellStyle name="Примечание 5 5" xfId="1295"/>
    <cellStyle name="Примечание 5 6" xfId="1296"/>
    <cellStyle name="Примечание 5 7" xfId="1297"/>
    <cellStyle name="Примечание 5 8" xfId="1298"/>
    <cellStyle name="Примечание 5_OREP.KU.2011.PLAN(v1.0)" xfId="1299"/>
    <cellStyle name="Примечание 6" xfId="1300"/>
    <cellStyle name="Примечание 6 2" xfId="1301"/>
    <cellStyle name="Примечание 6_OREP.KU.2011.PLAN(v1.2)" xfId="1302"/>
    <cellStyle name="Примечание 7" xfId="1303"/>
    <cellStyle name="Примечание 7 2" xfId="1304"/>
    <cellStyle name="Примечание 7_OREP.KU.2011.PLAN(v1.2)" xfId="1305"/>
    <cellStyle name="Примечание 8" xfId="1306"/>
    <cellStyle name="Примечание 8 2" xfId="1307"/>
    <cellStyle name="Примечание 8_OREP.KU.2011.PLAN(v1.2)" xfId="1308"/>
    <cellStyle name="Примечание 9" xfId="1309"/>
    <cellStyle name="Примечание 9 2" xfId="1310"/>
    <cellStyle name="Примечание 9_OREP.KU.2011.PLAN(v1.2)" xfId="1311"/>
    <cellStyle name="Процентный 10" xfId="1312"/>
    <cellStyle name="Процентный 2" xfId="1313"/>
    <cellStyle name="Процентный 2 2" xfId="1314"/>
    <cellStyle name="Процентный 2 3" xfId="1315"/>
    <cellStyle name="Процентный 3" xfId="1316"/>
    <cellStyle name="Процентный 4" xfId="1317"/>
    <cellStyle name="Процентный 5" xfId="1318"/>
    <cellStyle name="Процентный 5 2" xfId="1319"/>
    <cellStyle name="Процентный 5 3" xfId="1433"/>
    <cellStyle name="Процентный 9" xfId="1320"/>
    <cellStyle name="Связанная ячейка 2" xfId="1321"/>
    <cellStyle name="Связанная ячейка 2 2" xfId="1322"/>
    <cellStyle name="Связанная ячейка 2_OREP.KU.2011.PLAN(v1.2)" xfId="1323"/>
    <cellStyle name="Связанная ячейка 3" xfId="1324"/>
    <cellStyle name="Связанная ячейка 3 2" xfId="1325"/>
    <cellStyle name="Связанная ячейка 3_OREP.KU.2011.PLAN(v1.2)" xfId="1326"/>
    <cellStyle name="Связанная ячейка 4" xfId="1327"/>
    <cellStyle name="Связанная ячейка 4 2" xfId="1328"/>
    <cellStyle name="Связанная ячейка 4_OREP.KU.2011.PLAN(v1.2)" xfId="1329"/>
    <cellStyle name="Связанная ячейка 5" xfId="1330"/>
    <cellStyle name="Связанная ячейка 5 2" xfId="1331"/>
    <cellStyle name="Связанная ячейка 5_OREP.KU.2011.PLAN(v1.2)" xfId="1332"/>
    <cellStyle name="Связанная ячейка 6" xfId="1333"/>
    <cellStyle name="Связанная ячейка 6 2" xfId="1334"/>
    <cellStyle name="Связанная ячейка 6_OREP.KU.2011.PLAN(v1.2)" xfId="1335"/>
    <cellStyle name="Связанная ячейка 7" xfId="1336"/>
    <cellStyle name="Связанная ячейка 7 2" xfId="1337"/>
    <cellStyle name="Связанная ячейка 7_OREP.KU.2011.PLAN(v1.2)" xfId="1338"/>
    <cellStyle name="Связанная ячейка 8" xfId="1339"/>
    <cellStyle name="Связанная ячейка 8 2" xfId="1340"/>
    <cellStyle name="Связанная ячейка 8_OREP.KU.2011.PLAN(v1.2)" xfId="1341"/>
    <cellStyle name="Связанная ячейка 9" xfId="1342"/>
    <cellStyle name="Связанная ячейка 9 2" xfId="1343"/>
    <cellStyle name="Связанная ячейка 9_OREP.KU.2011.PLAN(v1.2)" xfId="1344"/>
    <cellStyle name="Стиль 1" xfId="1345"/>
    <cellStyle name="Стиль 1 2" xfId="1346"/>
    <cellStyle name="Стиль_названий" xfId="1347"/>
    <cellStyle name="Строка нечётная" xfId="1348"/>
    <cellStyle name="Строка чётная" xfId="1349"/>
    <cellStyle name="ТЕКСТ" xfId="1350"/>
    <cellStyle name="ТЕКСТ 2" xfId="1351"/>
    <cellStyle name="ТЕКСТ 3" xfId="1352"/>
    <cellStyle name="ТЕКСТ 4" xfId="1353"/>
    <cellStyle name="ТЕКСТ 5" xfId="1354"/>
    <cellStyle name="ТЕКСТ 6" xfId="1355"/>
    <cellStyle name="ТЕКСТ 7" xfId="1356"/>
    <cellStyle name="ТЕКСТ 8" xfId="1357"/>
    <cellStyle name="Текст предупреждения 2" xfId="1358"/>
    <cellStyle name="Текст предупреждения 2 2" xfId="1359"/>
    <cellStyle name="Текст предупреждения 3" xfId="1360"/>
    <cellStyle name="Текст предупреждения 3 2" xfId="1361"/>
    <cellStyle name="Текст предупреждения 4" xfId="1362"/>
    <cellStyle name="Текст предупреждения 4 2" xfId="1363"/>
    <cellStyle name="Текст предупреждения 5" xfId="1364"/>
    <cellStyle name="Текст предупреждения 5 2" xfId="1365"/>
    <cellStyle name="Текст предупреждения 6" xfId="1366"/>
    <cellStyle name="Текст предупреждения 6 2" xfId="1367"/>
    <cellStyle name="Текст предупреждения 7" xfId="1368"/>
    <cellStyle name="Текст предупреждения 7 2" xfId="1369"/>
    <cellStyle name="Текст предупреждения 8" xfId="1370"/>
    <cellStyle name="Текст предупреждения 8 2" xfId="1371"/>
    <cellStyle name="Текст предупреждения 9" xfId="1372"/>
    <cellStyle name="Текст предупреждения 9 2" xfId="1373"/>
    <cellStyle name="Текстовый" xfId="1374"/>
    <cellStyle name="Текстовый 2" xfId="1375"/>
    <cellStyle name="Текстовый 3" xfId="1376"/>
    <cellStyle name="Текстовый 4" xfId="1377"/>
    <cellStyle name="Текстовый 5" xfId="1378"/>
    <cellStyle name="Текстовый 6" xfId="1379"/>
    <cellStyle name="Текстовый 7" xfId="1380"/>
    <cellStyle name="Текстовый 8" xfId="1381"/>
    <cellStyle name="Текстовый_1" xfId="1382"/>
    <cellStyle name="Тысячи [0]_22гк" xfId="1383"/>
    <cellStyle name="Тысячи [а]" xfId="1384"/>
    <cellStyle name="Тысячи_22гк" xfId="1385"/>
    <cellStyle name="ФИКСИРОВАННЫЙ" xfId="1386"/>
    <cellStyle name="ФИКСИРОВАННЫЙ 2" xfId="1387"/>
    <cellStyle name="ФИКСИРОВАННЫЙ 3" xfId="1388"/>
    <cellStyle name="ФИКСИРОВАННЫЙ 4" xfId="1389"/>
    <cellStyle name="ФИКСИРОВАННЫЙ 5" xfId="1390"/>
    <cellStyle name="ФИКСИРОВАННЫЙ 6" xfId="1391"/>
    <cellStyle name="ФИКСИРОВАННЫЙ 7" xfId="1392"/>
    <cellStyle name="ФИКСИРОВАННЫЙ 8" xfId="1393"/>
    <cellStyle name="ФИКСИРОВАННЫЙ_1" xfId="1394"/>
    <cellStyle name="Финансовый" xfId="1427" builtinId="3"/>
    <cellStyle name="Финансовый 2" xfId="1395"/>
    <cellStyle name="Финансовый 2 2" xfId="1396"/>
    <cellStyle name="Финансовый 2 3" xfId="1397"/>
    <cellStyle name="Финансовый 2_BALANCE.WARM.2011YEAR.NEW.UPDATE.SCHEME" xfId="1398"/>
    <cellStyle name="Финансовый 3" xfId="1399"/>
    <cellStyle name="Финансовый 3 2" xfId="1400"/>
    <cellStyle name="Финансовый 5 2" xfId="1401"/>
    <cellStyle name="Финансовый 6" xfId="1402"/>
    <cellStyle name="Формула" xfId="1403"/>
    <cellStyle name="Формула 2" xfId="1404"/>
    <cellStyle name="Формула_A РТ 2009 Рязаньэнерго" xfId="1405"/>
    <cellStyle name="ФормулаВБ" xfId="1406"/>
    <cellStyle name="ФормулаНаКонтроль" xfId="1407"/>
    <cellStyle name="Хороший 2" xfId="1408"/>
    <cellStyle name="Хороший 2 2" xfId="1409"/>
    <cellStyle name="Хороший 3" xfId="1410"/>
    <cellStyle name="Хороший 3 2" xfId="1411"/>
    <cellStyle name="Хороший 4" xfId="1412"/>
    <cellStyle name="Хороший 4 2" xfId="1413"/>
    <cellStyle name="Хороший 5" xfId="1414"/>
    <cellStyle name="Хороший 5 2" xfId="1415"/>
    <cellStyle name="Хороший 6" xfId="1416"/>
    <cellStyle name="Хороший 6 2" xfId="1417"/>
    <cellStyle name="Хороший 7" xfId="1418"/>
    <cellStyle name="Хороший 7 2" xfId="1419"/>
    <cellStyle name="Хороший 8" xfId="1420"/>
    <cellStyle name="Хороший 8 2" xfId="1421"/>
    <cellStyle name="Хороший 9" xfId="1422"/>
    <cellStyle name="Хороший 9 2" xfId="1423"/>
    <cellStyle name="Цифры по центру с десятыми" xfId="1424"/>
    <cellStyle name="Џђћ–…ќ’ќ›‰" xfId="1425"/>
    <cellStyle name="Шапка таблицы" xfId="1426"/>
  </cellStyles>
  <dxfs count="0"/>
  <tableStyles count="0" defaultTableStyle="TableStyleMedium9" defaultPivotStyle="PivotStyleLight16"/>
  <colors>
    <mruColors>
      <color rgb="FFFFFFCC"/>
      <color rgb="FFCCFF33"/>
      <color rgb="FFFFFF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1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BUDGETU2/B(34)9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ritonova\&#1074;&#1093;&#1086;&#1076;&#1103;&#1097;&#1080;&#1077;\WINDOWS\TEMP\BUDGETU2\B(34)9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"/>
    </sheetNames>
    <sheetDataSet>
      <sheetData sheetId="0" refreshError="1">
        <row r="5">
          <cell r="B5" t="str">
            <v>Выпуск проката на сторону</v>
          </cell>
        </row>
        <row r="8">
          <cell r="B8" t="str">
            <v>Валовая прибыль</v>
          </cell>
        </row>
        <row r="9">
          <cell r="B9" t="str">
            <v xml:space="preserve">Затраты на производство товарной продукции </v>
          </cell>
        </row>
        <row r="10">
          <cell r="B10" t="str">
            <v xml:space="preserve">Выручка, затраты, прибыль от реализации продукции ( работ, услуг ) </v>
          </cell>
        </row>
        <row r="11">
          <cell r="B11" t="str">
            <v>Выручка, затраты, прибыль от прочей реализации продукции                                                            ( работ, услуг )</v>
          </cell>
        </row>
        <row r="13">
          <cell r="B13" t="str">
            <v>Себестоимость товарной и реализованной продукции</v>
          </cell>
        </row>
        <row r="14">
          <cell r="B14" t="str">
            <v>Прибыль товарной и реализованной продукции</v>
          </cell>
        </row>
        <row r="16">
          <cell r="B16" t="str">
            <v>Затраты на 1 руб. товарной и реализованной продукции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"/>
    </sheetNames>
    <sheetDataSet>
      <sheetData sheetId="0" refreshError="1">
        <row r="5">
          <cell r="B5" t="str">
            <v>Выпуск проката на сторону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Q38"/>
  <sheetViews>
    <sheetView zoomScale="85" zoomScaleNormal="85" workbookViewId="0">
      <selection activeCell="C21" sqref="C21"/>
    </sheetView>
  </sheetViews>
  <sheetFormatPr defaultColWidth="9.109375" defaultRowHeight="15.6"/>
  <cols>
    <col min="1" max="1" width="5.88671875" style="1528" customWidth="1"/>
    <col min="2" max="2" width="24.109375" style="1528" customWidth="1"/>
    <col min="3" max="3" width="19.88671875" style="1528" customWidth="1"/>
    <col min="4" max="4" width="19.5546875" style="1528" customWidth="1"/>
    <col min="5" max="5" width="18.5546875" style="1528" customWidth="1"/>
    <col min="6" max="6" width="10.88671875" style="1528" customWidth="1"/>
    <col min="7" max="7" width="16.88671875" style="1528" customWidth="1"/>
    <col min="8" max="8" width="12.109375" style="1528" customWidth="1"/>
    <col min="9" max="9" width="18.88671875" style="1528" customWidth="1"/>
    <col min="10" max="10" width="9.109375" style="1528"/>
    <col min="11" max="11" width="11.88671875" style="1528" bestFit="1" customWidth="1"/>
    <col min="12" max="12" width="12.109375" style="1528" customWidth="1"/>
    <col min="13" max="13" width="9.109375" style="1528"/>
    <col min="14" max="14" width="11.33203125" style="1528" bestFit="1" customWidth="1"/>
    <col min="15" max="15" width="9.109375" style="1528"/>
    <col min="16" max="16" width="9.5546875" style="1528" bestFit="1" customWidth="1"/>
    <col min="17" max="17" width="11.33203125" style="1528" bestFit="1" customWidth="1"/>
    <col min="18" max="16384" width="9.109375" style="1528"/>
  </cols>
  <sheetData>
    <row r="1" spans="1:14">
      <c r="A1" s="1531"/>
      <c r="B1" s="1531"/>
      <c r="C1" s="1531"/>
      <c r="D1" s="1531"/>
      <c r="E1" s="1531"/>
      <c r="F1" s="1531"/>
      <c r="G1" s="1531"/>
      <c r="H1" s="1531"/>
      <c r="I1" s="1532" t="s">
        <v>236</v>
      </c>
    </row>
    <row r="2" spans="1:14" s="1792" customFormat="1" ht="13.8">
      <c r="A2" s="1533"/>
      <c r="B2" s="1531"/>
      <c r="C2" s="1531"/>
      <c r="D2" s="1531"/>
      <c r="E2" s="1531"/>
      <c r="F2" s="1531"/>
      <c r="G2" s="1531"/>
      <c r="H2" s="1531"/>
      <c r="I2" s="1531"/>
    </row>
    <row r="3" spans="1:14" s="1792" customFormat="1">
      <c r="A3" s="1905" t="s">
        <v>1323</v>
      </c>
      <c r="B3" s="1905"/>
      <c r="C3" s="1905"/>
      <c r="D3" s="1905"/>
      <c r="E3" s="1905"/>
      <c r="F3" s="1905"/>
      <c r="G3" s="1905"/>
      <c r="H3" s="1905"/>
      <c r="I3" s="1905"/>
    </row>
    <row r="4" spans="1:14" s="1792" customFormat="1">
      <c r="A4" s="1905" t="s">
        <v>1285</v>
      </c>
      <c r="B4" s="1905"/>
      <c r="C4" s="1905"/>
      <c r="D4" s="1905"/>
      <c r="E4" s="1905"/>
      <c r="F4" s="1905"/>
      <c r="G4" s="1905"/>
      <c r="H4" s="1905"/>
      <c r="I4" s="1905"/>
    </row>
    <row r="5" spans="1:14" s="1792" customFormat="1">
      <c r="A5" s="1905" t="s">
        <v>355</v>
      </c>
      <c r="B5" s="1905"/>
      <c r="C5" s="1905"/>
      <c r="D5" s="1905"/>
      <c r="E5" s="1905"/>
      <c r="F5" s="1905"/>
      <c r="G5" s="1905"/>
      <c r="H5" s="1905"/>
      <c r="I5" s="1905"/>
    </row>
    <row r="6" spans="1:14" s="1792" customFormat="1">
      <c r="A6" s="1905" t="s">
        <v>356</v>
      </c>
      <c r="B6" s="1905"/>
      <c r="C6" s="1905"/>
      <c r="D6" s="1905"/>
      <c r="E6" s="1905"/>
      <c r="F6" s="1905"/>
      <c r="G6" s="1905"/>
      <c r="H6" s="1905"/>
      <c r="I6" s="1905"/>
    </row>
    <row r="7" spans="1:14" s="1792" customFormat="1">
      <c r="A7" s="1905" t="s">
        <v>357</v>
      </c>
      <c r="B7" s="1905"/>
      <c r="C7" s="1905"/>
      <c r="D7" s="1905"/>
      <c r="E7" s="1905"/>
      <c r="F7" s="1905"/>
      <c r="G7" s="1905"/>
      <c r="H7" s="1905"/>
      <c r="I7" s="1905"/>
    </row>
    <row r="8" spans="1:14" s="1792" customFormat="1">
      <c r="A8" s="1905" t="s">
        <v>358</v>
      </c>
      <c r="B8" s="1905"/>
      <c r="C8" s="1905"/>
      <c r="D8" s="1905"/>
      <c r="E8" s="1905"/>
      <c r="F8" s="1905"/>
      <c r="G8" s="1905"/>
      <c r="H8" s="1905"/>
      <c r="I8" s="1905"/>
    </row>
    <row r="9" spans="1:14" s="1792" customFormat="1">
      <c r="A9" s="1905" t="s">
        <v>354</v>
      </c>
      <c r="B9" s="1905"/>
      <c r="C9" s="1905"/>
      <c r="D9" s="1905"/>
      <c r="E9" s="1905"/>
      <c r="F9" s="1905"/>
      <c r="G9" s="1905"/>
      <c r="H9" s="1905"/>
      <c r="I9" s="1905"/>
    </row>
    <row r="10" spans="1:14" s="1792" customFormat="1" ht="13.8">
      <c r="A10" s="1534"/>
      <c r="B10" s="1534"/>
      <c r="C10" s="1534"/>
      <c r="D10" s="1534"/>
      <c r="E10" s="1534"/>
      <c r="F10" s="1531"/>
      <c r="G10" s="1531"/>
      <c r="H10" s="1531"/>
      <c r="I10" s="1531"/>
    </row>
    <row r="11" spans="1:14" ht="27" customHeight="1">
      <c r="A11" s="1906" t="s">
        <v>835</v>
      </c>
      <c r="B11" s="1909" t="s">
        <v>1273</v>
      </c>
      <c r="C11" s="1910"/>
      <c r="D11" s="1910"/>
      <c r="E11" s="1910"/>
      <c r="F11" s="1910"/>
      <c r="G11" s="1911" t="s">
        <v>1274</v>
      </c>
      <c r="H11" s="1911"/>
      <c r="I11" s="1906" t="s">
        <v>1275</v>
      </c>
    </row>
    <row r="12" spans="1:14" ht="54.75" customHeight="1">
      <c r="A12" s="1907"/>
      <c r="B12" s="1912" t="s">
        <v>292</v>
      </c>
      <c r="C12" s="1535" t="s">
        <v>1276</v>
      </c>
      <c r="D12" s="1535" t="s">
        <v>1277</v>
      </c>
      <c r="E12" s="1536" t="s">
        <v>1278</v>
      </c>
      <c r="F12" s="1536" t="s">
        <v>1279</v>
      </c>
      <c r="G12" s="1536" t="s">
        <v>1280</v>
      </c>
      <c r="H12" s="1536" t="s">
        <v>1279</v>
      </c>
      <c r="I12" s="1908"/>
    </row>
    <row r="13" spans="1:14" s="1530" customFormat="1" ht="21" customHeight="1">
      <c r="A13" s="1908"/>
      <c r="B13" s="1913"/>
      <c r="C13" s="1537" t="s">
        <v>1281</v>
      </c>
      <c r="D13" s="1538" t="s">
        <v>32</v>
      </c>
      <c r="E13" s="1539" t="s">
        <v>1281</v>
      </c>
      <c r="F13" s="1540" t="s">
        <v>1282</v>
      </c>
      <c r="G13" s="1540" t="s">
        <v>141</v>
      </c>
      <c r="H13" s="1540" t="s">
        <v>1283</v>
      </c>
      <c r="I13" s="1541" t="s">
        <v>0</v>
      </c>
    </row>
    <row r="14" spans="1:14" s="1530" customFormat="1" ht="18" customHeight="1">
      <c r="A14" s="1790"/>
      <c r="B14" s="1791" t="s">
        <v>1272</v>
      </c>
      <c r="C14" s="1537"/>
      <c r="D14" s="1538"/>
      <c r="E14" s="1539"/>
      <c r="F14" s="1540"/>
      <c r="G14" s="1540"/>
      <c r="H14" s="1540"/>
      <c r="I14" s="1541"/>
    </row>
    <row r="15" spans="1:14" ht="25.5" customHeight="1">
      <c r="A15" s="1542" t="s">
        <v>21</v>
      </c>
      <c r="B15" s="1543" t="s">
        <v>1284</v>
      </c>
      <c r="C15" s="1544"/>
      <c r="D15" s="1545"/>
      <c r="E15" s="1546"/>
      <c r="F15" s="1547"/>
      <c r="G15" s="1547"/>
      <c r="H15" s="1547"/>
      <c r="I15" s="1548"/>
      <c r="L15" s="1575" t="s">
        <v>1293</v>
      </c>
      <c r="M15" s="1575" t="s">
        <v>1294</v>
      </c>
      <c r="N15" s="1575"/>
    </row>
    <row r="16" spans="1:14" s="1530" customFormat="1" ht="25.5" customHeight="1">
      <c r="A16" s="1541"/>
      <c r="B16" s="1549" t="s">
        <v>1286</v>
      </c>
      <c r="C16" s="1550">
        <v>10340.647999999999</v>
      </c>
      <c r="D16" s="1551">
        <v>4.6100000000000003</v>
      </c>
      <c r="E16" s="1552">
        <f>C16*D16%</f>
        <v>476.7038728</v>
      </c>
      <c r="F16" s="1553">
        <v>1730.59</v>
      </c>
      <c r="G16" s="1762">
        <v>3.8559999999999999</v>
      </c>
      <c r="H16" s="1555">
        <v>134589.17000000001</v>
      </c>
      <c r="I16" s="1556">
        <f>(E16*F16+G16*6*H16)/1000</f>
        <v>3938.8339923489521</v>
      </c>
      <c r="J16" s="1577">
        <f>(4+4+3.3+3+3+3)/6</f>
        <v>3.3833333333333333</v>
      </c>
      <c r="K16" s="1576" t="s">
        <v>1295</v>
      </c>
      <c r="L16" s="1564" t="s">
        <v>1291</v>
      </c>
      <c r="M16" s="1563"/>
      <c r="N16" s="1572"/>
    </row>
    <row r="17" spans="1:17" s="1530" customFormat="1" ht="25.5" customHeight="1">
      <c r="A17" s="1541"/>
      <c r="B17" s="1549" t="s">
        <v>1287</v>
      </c>
      <c r="C17" s="1550">
        <v>10257.906999999999</v>
      </c>
      <c r="D17" s="1551">
        <v>4.6100000000000003</v>
      </c>
      <c r="E17" s="1552">
        <f>C17*D17%</f>
        <v>472.88951270000001</v>
      </c>
      <c r="F17" s="1553">
        <v>1860.38</v>
      </c>
      <c r="G17" s="1762">
        <v>3.8559999999999999</v>
      </c>
      <c r="H17" s="1555">
        <v>144686.51999999999</v>
      </c>
      <c r="I17" s="1556">
        <f>(E17*F17+G17*6*H17)/1000</f>
        <v>4227.221518356826</v>
      </c>
      <c r="J17" s="1530">
        <f>(3+3+3.3+3.3+4+4)/6</f>
        <v>3.4333333333333336</v>
      </c>
      <c r="K17" s="1563">
        <v>147681.20000000001</v>
      </c>
      <c r="L17" s="1573" t="s">
        <v>1292</v>
      </c>
      <c r="M17" s="1574"/>
      <c r="N17" s="1574"/>
      <c r="O17" s="1574"/>
    </row>
    <row r="18" spans="1:17" s="1530" customFormat="1" ht="26.25" customHeight="1">
      <c r="A18" s="1541"/>
      <c r="B18" s="1549" t="s">
        <v>1319</v>
      </c>
      <c r="C18" s="1550">
        <f>SUM(C16:C17)</f>
        <v>20598.555</v>
      </c>
      <c r="D18" s="1551">
        <f>D17</f>
        <v>4.6100000000000003</v>
      </c>
      <c r="E18" s="1552">
        <f>SUM(E16:E17)</f>
        <v>949.59338550000007</v>
      </c>
      <c r="F18" s="1553"/>
      <c r="G18" s="1554">
        <f>(G16+G17)/2</f>
        <v>3.8559999999999999</v>
      </c>
      <c r="H18" s="1555"/>
      <c r="I18" s="1556">
        <f>SUM(I16:I17)</f>
        <v>8166.055510705778</v>
      </c>
      <c r="J18" s="1530">
        <f>(J16+J17)/2</f>
        <v>3.4083333333333332</v>
      </c>
      <c r="L18" s="1792">
        <v>11297.893397260224</v>
      </c>
      <c r="M18" s="1530" t="s">
        <v>854</v>
      </c>
      <c r="N18" s="1792">
        <f>755.798741*3+607.33827*3+605.65127*3+753.69935*3</f>
        <v>8167.4628929999999</v>
      </c>
      <c r="O18" s="1530" t="s">
        <v>187</v>
      </c>
      <c r="P18" s="1530">
        <f>191.45418+189.93766+146.00148+141.26387+127.32067+140.35634+162.60057+175.7855+189.4222+229.75914+193.11001+201.00106</f>
        <v>2088.0126799999998</v>
      </c>
      <c r="Q18" s="1792">
        <f>N18+P18</f>
        <v>10255.475573</v>
      </c>
    </row>
    <row r="19" spans="1:17" s="1530" customFormat="1" ht="33.75" customHeight="1">
      <c r="A19" s="1541" t="s">
        <v>22</v>
      </c>
      <c r="B19" s="1549" t="s">
        <v>237</v>
      </c>
      <c r="C19" s="1550"/>
      <c r="D19" s="1551"/>
      <c r="E19" s="1552"/>
      <c r="F19" s="1553"/>
      <c r="G19" s="1554"/>
      <c r="H19" s="1555"/>
      <c r="I19" s="1556"/>
      <c r="J19" s="1530">
        <f>(4+4+3.3+3+3+3+3+3+3.3+3.3+4+4)/12</f>
        <v>3.4083333333333332</v>
      </c>
      <c r="N19" s="1792">
        <f>(1923.99+1908.75+1467.22+1419.61+1279.49+1410.49)</f>
        <v>9409.5499999999993</v>
      </c>
    </row>
    <row r="20" spans="1:17" s="1530" customFormat="1" ht="25.5" customHeight="1">
      <c r="A20" s="1541"/>
      <c r="B20" s="1549" t="s">
        <v>1316</v>
      </c>
      <c r="C20" s="1802">
        <v>10829.473400000001</v>
      </c>
      <c r="D20" s="1551">
        <v>3.76</v>
      </c>
      <c r="E20" s="1552">
        <f>C20*D20%</f>
        <v>407.18819983999998</v>
      </c>
      <c r="F20" s="1553">
        <v>1860.38</v>
      </c>
      <c r="G20" s="1803">
        <v>2.7921900000000002</v>
      </c>
      <c r="H20" s="1555">
        <v>144686.51999999999</v>
      </c>
      <c r="I20" s="1556">
        <f>(E20*F20+G20*6*H20)/1000</f>
        <v>3181.478308891139</v>
      </c>
      <c r="L20" s="1792">
        <f>N19+N20</f>
        <v>20983.17</v>
      </c>
      <c r="N20" s="1792">
        <f>(1634.03+1766.53+1903.57+2308.93+1940.63+2019.93)</f>
        <v>11573.619999999999</v>
      </c>
    </row>
    <row r="21" spans="1:17" s="1530" customFormat="1" ht="25.5" customHeight="1">
      <c r="A21" s="1541"/>
      <c r="B21" s="1549" t="s">
        <v>1318</v>
      </c>
      <c r="C21" s="1802">
        <v>10213.060299999999</v>
      </c>
      <c r="D21" s="1551">
        <v>3.76</v>
      </c>
      <c r="E21" s="1552">
        <f>C21*D21%</f>
        <v>384.01106727999991</v>
      </c>
      <c r="F21" s="1553">
        <v>1962.7</v>
      </c>
      <c r="G21" s="1803">
        <v>2.7673899999999998</v>
      </c>
      <c r="H21" s="1794">
        <v>155541.57999999999</v>
      </c>
      <c r="I21" s="1669">
        <f>(E21*F21+G21*6*H21)/1000</f>
        <v>3336.3638002076555</v>
      </c>
      <c r="J21" s="1670"/>
      <c r="K21" s="1675" t="s">
        <v>1313</v>
      </c>
      <c r="L21" s="1674">
        <v>1.075</v>
      </c>
      <c r="M21" s="1668" t="s">
        <v>1312</v>
      </c>
      <c r="N21" s="1668"/>
      <c r="O21" s="1668"/>
    </row>
    <row r="22" spans="1:17" s="1530" customFormat="1" ht="33.75" customHeight="1">
      <c r="A22" s="1541"/>
      <c r="B22" s="1549" t="s">
        <v>1317</v>
      </c>
      <c r="C22" s="1550">
        <f>SUM(C20:C21)</f>
        <v>21042.5337</v>
      </c>
      <c r="D22" s="1551">
        <f>(D20+D21)/2</f>
        <v>3.76</v>
      </c>
      <c r="E22" s="1552">
        <f>C22*D22/100</f>
        <v>791.19926712000006</v>
      </c>
      <c r="F22" s="1553"/>
      <c r="G22" s="1554">
        <f>(G20+G21)/2</f>
        <v>2.7797900000000002</v>
      </c>
      <c r="H22" s="1555"/>
      <c r="I22" s="1669">
        <f>SUM(I20:I21)</f>
        <v>6517.842109098794</v>
      </c>
      <c r="J22" s="1671"/>
      <c r="K22" s="1672" t="s">
        <v>1289</v>
      </c>
      <c r="L22" s="1673">
        <f>H21/H20</f>
        <v>1.0750246809447073</v>
      </c>
      <c r="M22" s="1668">
        <v>9322.2000000000007</v>
      </c>
      <c r="N22" s="1668">
        <f>(E21*2030.3+G21*163310.63*6)/1000+I20</f>
        <v>6672.8012049239233</v>
      </c>
      <c r="P22" s="1792">
        <f>P18+N18</f>
        <v>10255.475573</v>
      </c>
    </row>
    <row r="23" spans="1:17" ht="12.75" customHeight="1">
      <c r="A23" s="1529"/>
      <c r="N23" s="1668">
        <f>M22-I22</f>
        <v>2804.3578909012067</v>
      </c>
    </row>
    <row r="24" spans="1:17">
      <c r="J24" s="1793" t="s">
        <v>1324</v>
      </c>
      <c r="K24" s="1793"/>
      <c r="L24" s="1793"/>
    </row>
    <row r="25" spans="1:17">
      <c r="A25" s="685" t="s">
        <v>632</v>
      </c>
      <c r="B25" s="621"/>
      <c r="C25" s="681"/>
      <c r="D25" s="686"/>
      <c r="E25" s="686"/>
      <c r="F25" s="686"/>
      <c r="G25" s="686"/>
      <c r="H25" s="1527"/>
      <c r="I25" s="625"/>
      <c r="L25" s="1561" t="s">
        <v>1288</v>
      </c>
      <c r="M25" s="1562"/>
      <c r="N25" s="1562"/>
    </row>
    <row r="26" spans="1:17">
      <c r="A26" s="685" t="s">
        <v>662</v>
      </c>
      <c r="B26" s="625"/>
      <c r="C26" s="681"/>
      <c r="D26" s="686"/>
      <c r="E26" s="683"/>
      <c r="F26" s="683"/>
      <c r="G26" s="686"/>
      <c r="H26" s="627" t="e">
        <f>#REF!</f>
        <v>#REF!</v>
      </c>
      <c r="I26" s="625"/>
      <c r="L26" s="1561">
        <v>10652.16</v>
      </c>
      <c r="M26" s="1562"/>
      <c r="N26" s="1562"/>
    </row>
    <row r="27" spans="1:17">
      <c r="L27" s="1560"/>
      <c r="M27" s="1560"/>
      <c r="N27" s="1560"/>
    </row>
    <row r="29" spans="1:17">
      <c r="C29" s="1528" t="e">
        <f>#REF!</f>
        <v>#REF!</v>
      </c>
      <c r="D29" s="1667" t="e">
        <f>#REF!</f>
        <v>#REF!</v>
      </c>
      <c r="L29" s="1606" t="s">
        <v>1297</v>
      </c>
      <c r="M29" s="1606"/>
      <c r="N29" s="1607" t="s">
        <v>854</v>
      </c>
      <c r="O29" s="1606"/>
      <c r="P29" s="1606"/>
      <c r="Q29" s="1606"/>
    </row>
    <row r="30" spans="1:17">
      <c r="C30" s="1528" t="e">
        <f>#REF!</f>
        <v>#REF!</v>
      </c>
      <c r="D30" s="1667" t="e">
        <f>#REF!</f>
        <v>#REF!</v>
      </c>
      <c r="L30" s="1606"/>
      <c r="M30" s="1606"/>
      <c r="N30" s="1606">
        <f>2375.90731*6+2599.77984*6</f>
        <v>29854.122900000002</v>
      </c>
      <c r="O30" s="1606"/>
      <c r="P30" s="1606"/>
      <c r="Q30" s="1606"/>
    </row>
    <row r="31" spans="1:17">
      <c r="C31" s="1528" t="e">
        <f>#REF!</f>
        <v>#REF!</v>
      </c>
      <c r="D31" s="1667" t="e">
        <f>#REF!</f>
        <v>#REF!</v>
      </c>
      <c r="L31" s="1606"/>
      <c r="M31" s="1606"/>
      <c r="N31" s="1606" t="s">
        <v>187</v>
      </c>
      <c r="O31" s="1606"/>
      <c r="P31" s="1606"/>
      <c r="Q31" s="1606"/>
    </row>
    <row r="32" spans="1:17">
      <c r="L32" s="1606"/>
      <c r="M32" s="1606"/>
      <c r="N32" s="1606">
        <f>C18*D18/100*F16/1000</f>
        <v>1643.3568170124454</v>
      </c>
      <c r="O32" s="1606"/>
      <c r="P32" s="1606"/>
      <c r="Q32" s="1606"/>
    </row>
    <row r="33" spans="12:17">
      <c r="L33" s="1606"/>
      <c r="M33" s="1606"/>
      <c r="N33" s="1606" t="s">
        <v>277</v>
      </c>
      <c r="O33" s="1606"/>
      <c r="P33" s="1606"/>
      <c r="Q33" s="1606"/>
    </row>
    <row r="34" spans="12:17">
      <c r="L34" s="1606"/>
      <c r="M34" s="1606"/>
      <c r="N34" s="1606">
        <f>N30+N32</f>
        <v>31497.479717012448</v>
      </c>
      <c r="O34" s="1606"/>
      <c r="P34" s="1606"/>
      <c r="Q34" s="1606"/>
    </row>
    <row r="35" spans="12:17">
      <c r="L35" s="1606" t="s">
        <v>1299</v>
      </c>
      <c r="M35" s="1606"/>
      <c r="N35" s="1606"/>
      <c r="O35" s="1606"/>
      <c r="P35" s="1606"/>
      <c r="Q35" s="1606"/>
    </row>
    <row r="36" spans="12:17">
      <c r="L36" s="1606"/>
      <c r="M36" s="1606"/>
      <c r="N36" s="1606">
        <f>11916.4+11621.3</f>
        <v>23537.699999999997</v>
      </c>
      <c r="O36" s="1606"/>
      <c r="P36" s="1606"/>
      <c r="Q36" s="1606"/>
    </row>
    <row r="37" spans="12:17">
      <c r="L37" s="1606"/>
      <c r="M37" s="1606"/>
      <c r="N37" s="1606"/>
      <c r="O37" s="1606"/>
      <c r="P37" s="1606"/>
      <c r="Q37" s="1606"/>
    </row>
    <row r="38" spans="12:17">
      <c r="L38" s="1606" t="s">
        <v>1298</v>
      </c>
      <c r="M38" s="1606"/>
      <c r="N38" s="1606">
        <f>N36-N34</f>
        <v>-7959.7797170124504</v>
      </c>
      <c r="O38" s="1606"/>
      <c r="P38" s="1606"/>
      <c r="Q38" s="1606"/>
    </row>
  </sheetData>
  <mergeCells count="12">
    <mergeCell ref="A9:I9"/>
    <mergeCell ref="A11:A13"/>
    <mergeCell ref="B11:F11"/>
    <mergeCell ref="G11:H11"/>
    <mergeCell ref="I11:I12"/>
    <mergeCell ref="B12:B13"/>
    <mergeCell ref="A8:I8"/>
    <mergeCell ref="A3:I3"/>
    <mergeCell ref="A4:I4"/>
    <mergeCell ref="A5:I5"/>
    <mergeCell ref="A6:I6"/>
    <mergeCell ref="A7:I7"/>
  </mergeCells>
  <pageMargins left="0.98425196850393704" right="0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T46"/>
  <sheetViews>
    <sheetView topLeftCell="E1" zoomScaleNormal="100" workbookViewId="0">
      <pane ySplit="5" topLeftCell="A16" activePane="bottomLeft" state="frozenSplit"/>
      <selection pane="bottomLeft" activeCell="Q32" sqref="Q32"/>
    </sheetView>
  </sheetViews>
  <sheetFormatPr defaultRowHeight="13.2"/>
  <cols>
    <col min="1" max="1" width="14.88671875" style="1612" customWidth="1"/>
    <col min="2" max="2" width="10.33203125" style="1612" bestFit="1" customWidth="1"/>
    <col min="3" max="3" width="11.33203125" style="1612" customWidth="1"/>
    <col min="4" max="4" width="16.88671875" style="1612" customWidth="1"/>
    <col min="5" max="5" width="20.88671875" style="1612" customWidth="1"/>
    <col min="6" max="6" width="74.44140625" style="1612" customWidth="1"/>
    <col min="7" max="7" width="26.109375" style="1612" customWidth="1"/>
    <col min="8" max="8" width="17.88671875" style="1610" hidden="1" customWidth="1"/>
    <col min="9" max="9" width="15.44140625" style="1612" hidden="1" customWidth="1"/>
    <col min="10" max="10" width="10.33203125" style="1612" hidden="1" customWidth="1"/>
    <col min="11" max="13" width="10.109375" style="1612" hidden="1" customWidth="1"/>
    <col min="14" max="14" width="0" style="1612" hidden="1" customWidth="1"/>
    <col min="15" max="15" width="12" style="1612" hidden="1" customWidth="1"/>
    <col min="16" max="16" width="10.109375" style="1612" customWidth="1"/>
    <col min="17" max="17" width="13.44140625" style="1820" customWidth="1"/>
    <col min="18" max="18" width="13" style="1820" customWidth="1"/>
    <col min="19" max="19" width="11.5546875" style="1612" customWidth="1"/>
    <col min="20" max="20" width="10.109375" style="1612" bestFit="1" customWidth="1"/>
    <col min="21" max="21" width="9.109375" style="1612"/>
    <col min="22" max="22" width="10.109375" style="1612" bestFit="1" customWidth="1"/>
    <col min="23" max="256" width="9.109375" style="1612"/>
    <col min="257" max="257" width="14.88671875" style="1612" customWidth="1"/>
    <col min="258" max="258" width="10.33203125" style="1612" bestFit="1" customWidth="1"/>
    <col min="259" max="259" width="11.33203125" style="1612" customWidth="1"/>
    <col min="260" max="260" width="16.88671875" style="1612" customWidth="1"/>
    <col min="261" max="261" width="20.88671875" style="1612" customWidth="1"/>
    <col min="262" max="262" width="74.44140625" style="1612" customWidth="1"/>
    <col min="263" max="263" width="26.109375" style="1612" customWidth="1"/>
    <col min="264" max="271" width="0" style="1612" hidden="1" customWidth="1"/>
    <col min="272" max="272" width="10.109375" style="1612" customWidth="1"/>
    <col min="273" max="273" width="11.44140625" style="1612" customWidth="1"/>
    <col min="274" max="274" width="13" style="1612" customWidth="1"/>
    <col min="275" max="275" width="11.5546875" style="1612" customWidth="1"/>
    <col min="276" max="276" width="9.6640625" style="1612" bestFit="1" customWidth="1"/>
    <col min="277" max="277" width="9.109375" style="1612"/>
    <col min="278" max="278" width="10.109375" style="1612" bestFit="1" customWidth="1"/>
    <col min="279" max="512" width="9.109375" style="1612"/>
    <col min="513" max="513" width="14.88671875" style="1612" customWidth="1"/>
    <col min="514" max="514" width="10.33203125" style="1612" bestFit="1" customWidth="1"/>
    <col min="515" max="515" width="11.33203125" style="1612" customWidth="1"/>
    <col min="516" max="516" width="16.88671875" style="1612" customWidth="1"/>
    <col min="517" max="517" width="20.88671875" style="1612" customWidth="1"/>
    <col min="518" max="518" width="74.44140625" style="1612" customWidth="1"/>
    <col min="519" max="519" width="26.109375" style="1612" customWidth="1"/>
    <col min="520" max="527" width="0" style="1612" hidden="1" customWidth="1"/>
    <col min="528" max="528" width="10.109375" style="1612" customWidth="1"/>
    <col min="529" max="529" width="11.44140625" style="1612" customWidth="1"/>
    <col min="530" max="530" width="13" style="1612" customWidth="1"/>
    <col min="531" max="531" width="11.5546875" style="1612" customWidth="1"/>
    <col min="532" max="532" width="9.6640625" style="1612" bestFit="1" customWidth="1"/>
    <col min="533" max="533" width="9.109375" style="1612"/>
    <col min="534" max="534" width="10.109375" style="1612" bestFit="1" customWidth="1"/>
    <col min="535" max="768" width="9.109375" style="1612"/>
    <col min="769" max="769" width="14.88671875" style="1612" customWidth="1"/>
    <col min="770" max="770" width="10.33203125" style="1612" bestFit="1" customWidth="1"/>
    <col min="771" max="771" width="11.33203125" style="1612" customWidth="1"/>
    <col min="772" max="772" width="16.88671875" style="1612" customWidth="1"/>
    <col min="773" max="773" width="20.88671875" style="1612" customWidth="1"/>
    <col min="774" max="774" width="74.44140625" style="1612" customWidth="1"/>
    <col min="775" max="775" width="26.109375" style="1612" customWidth="1"/>
    <col min="776" max="783" width="0" style="1612" hidden="1" customWidth="1"/>
    <col min="784" max="784" width="10.109375" style="1612" customWidth="1"/>
    <col min="785" max="785" width="11.44140625" style="1612" customWidth="1"/>
    <col min="786" max="786" width="13" style="1612" customWidth="1"/>
    <col min="787" max="787" width="11.5546875" style="1612" customWidth="1"/>
    <col min="788" max="788" width="9.6640625" style="1612" bestFit="1" customWidth="1"/>
    <col min="789" max="789" width="9.109375" style="1612"/>
    <col min="790" max="790" width="10.109375" style="1612" bestFit="1" customWidth="1"/>
    <col min="791" max="1024" width="9.109375" style="1612"/>
    <col min="1025" max="1025" width="14.88671875" style="1612" customWidth="1"/>
    <col min="1026" max="1026" width="10.33203125" style="1612" bestFit="1" customWidth="1"/>
    <col min="1027" max="1027" width="11.33203125" style="1612" customWidth="1"/>
    <col min="1028" max="1028" width="16.88671875" style="1612" customWidth="1"/>
    <col min="1029" max="1029" width="20.88671875" style="1612" customWidth="1"/>
    <col min="1030" max="1030" width="74.44140625" style="1612" customWidth="1"/>
    <col min="1031" max="1031" width="26.109375" style="1612" customWidth="1"/>
    <col min="1032" max="1039" width="0" style="1612" hidden="1" customWidth="1"/>
    <col min="1040" max="1040" width="10.109375" style="1612" customWidth="1"/>
    <col min="1041" max="1041" width="11.44140625" style="1612" customWidth="1"/>
    <col min="1042" max="1042" width="13" style="1612" customWidth="1"/>
    <col min="1043" max="1043" width="11.5546875" style="1612" customWidth="1"/>
    <col min="1044" max="1044" width="9.6640625" style="1612" bestFit="1" customWidth="1"/>
    <col min="1045" max="1045" width="9.109375" style="1612"/>
    <col min="1046" max="1046" width="10.109375" style="1612" bestFit="1" customWidth="1"/>
    <col min="1047" max="1280" width="9.109375" style="1612"/>
    <col min="1281" max="1281" width="14.88671875" style="1612" customWidth="1"/>
    <col min="1282" max="1282" width="10.33203125" style="1612" bestFit="1" customWidth="1"/>
    <col min="1283" max="1283" width="11.33203125" style="1612" customWidth="1"/>
    <col min="1284" max="1284" width="16.88671875" style="1612" customWidth="1"/>
    <col min="1285" max="1285" width="20.88671875" style="1612" customWidth="1"/>
    <col min="1286" max="1286" width="74.44140625" style="1612" customWidth="1"/>
    <col min="1287" max="1287" width="26.109375" style="1612" customWidth="1"/>
    <col min="1288" max="1295" width="0" style="1612" hidden="1" customWidth="1"/>
    <col min="1296" max="1296" width="10.109375" style="1612" customWidth="1"/>
    <col min="1297" max="1297" width="11.44140625" style="1612" customWidth="1"/>
    <col min="1298" max="1298" width="13" style="1612" customWidth="1"/>
    <col min="1299" max="1299" width="11.5546875" style="1612" customWidth="1"/>
    <col min="1300" max="1300" width="9.6640625" style="1612" bestFit="1" customWidth="1"/>
    <col min="1301" max="1301" width="9.109375" style="1612"/>
    <col min="1302" max="1302" width="10.109375" style="1612" bestFit="1" customWidth="1"/>
    <col min="1303" max="1536" width="9.109375" style="1612"/>
    <col min="1537" max="1537" width="14.88671875" style="1612" customWidth="1"/>
    <col min="1538" max="1538" width="10.33203125" style="1612" bestFit="1" customWidth="1"/>
    <col min="1539" max="1539" width="11.33203125" style="1612" customWidth="1"/>
    <col min="1540" max="1540" width="16.88671875" style="1612" customWidth="1"/>
    <col min="1541" max="1541" width="20.88671875" style="1612" customWidth="1"/>
    <col min="1542" max="1542" width="74.44140625" style="1612" customWidth="1"/>
    <col min="1543" max="1543" width="26.109375" style="1612" customWidth="1"/>
    <col min="1544" max="1551" width="0" style="1612" hidden="1" customWidth="1"/>
    <col min="1552" max="1552" width="10.109375" style="1612" customWidth="1"/>
    <col min="1553" max="1553" width="11.44140625" style="1612" customWidth="1"/>
    <col min="1554" max="1554" width="13" style="1612" customWidth="1"/>
    <col min="1555" max="1555" width="11.5546875" style="1612" customWidth="1"/>
    <col min="1556" max="1556" width="9.6640625" style="1612" bestFit="1" customWidth="1"/>
    <col min="1557" max="1557" width="9.109375" style="1612"/>
    <col min="1558" max="1558" width="10.109375" style="1612" bestFit="1" customWidth="1"/>
    <col min="1559" max="1792" width="9.109375" style="1612"/>
    <col min="1793" max="1793" width="14.88671875" style="1612" customWidth="1"/>
    <col min="1794" max="1794" width="10.33203125" style="1612" bestFit="1" customWidth="1"/>
    <col min="1795" max="1795" width="11.33203125" style="1612" customWidth="1"/>
    <col min="1796" max="1796" width="16.88671875" style="1612" customWidth="1"/>
    <col min="1797" max="1797" width="20.88671875" style="1612" customWidth="1"/>
    <col min="1798" max="1798" width="74.44140625" style="1612" customWidth="1"/>
    <col min="1799" max="1799" width="26.109375" style="1612" customWidth="1"/>
    <col min="1800" max="1807" width="0" style="1612" hidden="1" customWidth="1"/>
    <col min="1808" max="1808" width="10.109375" style="1612" customWidth="1"/>
    <col min="1809" max="1809" width="11.44140625" style="1612" customWidth="1"/>
    <col min="1810" max="1810" width="13" style="1612" customWidth="1"/>
    <col min="1811" max="1811" width="11.5546875" style="1612" customWidth="1"/>
    <col min="1812" max="1812" width="9.6640625" style="1612" bestFit="1" customWidth="1"/>
    <col min="1813" max="1813" width="9.109375" style="1612"/>
    <col min="1814" max="1814" width="10.109375" style="1612" bestFit="1" customWidth="1"/>
    <col min="1815" max="2048" width="9.109375" style="1612"/>
    <col min="2049" max="2049" width="14.88671875" style="1612" customWidth="1"/>
    <col min="2050" max="2050" width="10.33203125" style="1612" bestFit="1" customWidth="1"/>
    <col min="2051" max="2051" width="11.33203125" style="1612" customWidth="1"/>
    <col min="2052" max="2052" width="16.88671875" style="1612" customWidth="1"/>
    <col min="2053" max="2053" width="20.88671875" style="1612" customWidth="1"/>
    <col min="2054" max="2054" width="74.44140625" style="1612" customWidth="1"/>
    <col min="2055" max="2055" width="26.109375" style="1612" customWidth="1"/>
    <col min="2056" max="2063" width="0" style="1612" hidden="1" customWidth="1"/>
    <col min="2064" max="2064" width="10.109375" style="1612" customWidth="1"/>
    <col min="2065" max="2065" width="11.44140625" style="1612" customWidth="1"/>
    <col min="2066" max="2066" width="13" style="1612" customWidth="1"/>
    <col min="2067" max="2067" width="11.5546875" style="1612" customWidth="1"/>
    <col min="2068" max="2068" width="9.6640625" style="1612" bestFit="1" customWidth="1"/>
    <col min="2069" max="2069" width="9.109375" style="1612"/>
    <col min="2070" max="2070" width="10.109375" style="1612" bestFit="1" customWidth="1"/>
    <col min="2071" max="2304" width="9.109375" style="1612"/>
    <col min="2305" max="2305" width="14.88671875" style="1612" customWidth="1"/>
    <col min="2306" max="2306" width="10.33203125" style="1612" bestFit="1" customWidth="1"/>
    <col min="2307" max="2307" width="11.33203125" style="1612" customWidth="1"/>
    <col min="2308" max="2308" width="16.88671875" style="1612" customWidth="1"/>
    <col min="2309" max="2309" width="20.88671875" style="1612" customWidth="1"/>
    <col min="2310" max="2310" width="74.44140625" style="1612" customWidth="1"/>
    <col min="2311" max="2311" width="26.109375" style="1612" customWidth="1"/>
    <col min="2312" max="2319" width="0" style="1612" hidden="1" customWidth="1"/>
    <col min="2320" max="2320" width="10.109375" style="1612" customWidth="1"/>
    <col min="2321" max="2321" width="11.44140625" style="1612" customWidth="1"/>
    <col min="2322" max="2322" width="13" style="1612" customWidth="1"/>
    <col min="2323" max="2323" width="11.5546875" style="1612" customWidth="1"/>
    <col min="2324" max="2324" width="9.6640625" style="1612" bestFit="1" customWidth="1"/>
    <col min="2325" max="2325" width="9.109375" style="1612"/>
    <col min="2326" max="2326" width="10.109375" style="1612" bestFit="1" customWidth="1"/>
    <col min="2327" max="2560" width="9.109375" style="1612"/>
    <col min="2561" max="2561" width="14.88671875" style="1612" customWidth="1"/>
    <col min="2562" max="2562" width="10.33203125" style="1612" bestFit="1" customWidth="1"/>
    <col min="2563" max="2563" width="11.33203125" style="1612" customWidth="1"/>
    <col min="2564" max="2564" width="16.88671875" style="1612" customWidth="1"/>
    <col min="2565" max="2565" width="20.88671875" style="1612" customWidth="1"/>
    <col min="2566" max="2566" width="74.44140625" style="1612" customWidth="1"/>
    <col min="2567" max="2567" width="26.109375" style="1612" customWidth="1"/>
    <col min="2568" max="2575" width="0" style="1612" hidden="1" customWidth="1"/>
    <col min="2576" max="2576" width="10.109375" style="1612" customWidth="1"/>
    <col min="2577" max="2577" width="11.44140625" style="1612" customWidth="1"/>
    <col min="2578" max="2578" width="13" style="1612" customWidth="1"/>
    <col min="2579" max="2579" width="11.5546875" style="1612" customWidth="1"/>
    <col min="2580" max="2580" width="9.6640625" style="1612" bestFit="1" customWidth="1"/>
    <col min="2581" max="2581" width="9.109375" style="1612"/>
    <col min="2582" max="2582" width="10.109375" style="1612" bestFit="1" customWidth="1"/>
    <col min="2583" max="2816" width="9.109375" style="1612"/>
    <col min="2817" max="2817" width="14.88671875" style="1612" customWidth="1"/>
    <col min="2818" max="2818" width="10.33203125" style="1612" bestFit="1" customWidth="1"/>
    <col min="2819" max="2819" width="11.33203125" style="1612" customWidth="1"/>
    <col min="2820" max="2820" width="16.88671875" style="1612" customWidth="1"/>
    <col min="2821" max="2821" width="20.88671875" style="1612" customWidth="1"/>
    <col min="2822" max="2822" width="74.44140625" style="1612" customWidth="1"/>
    <col min="2823" max="2823" width="26.109375" style="1612" customWidth="1"/>
    <col min="2824" max="2831" width="0" style="1612" hidden="1" customWidth="1"/>
    <col min="2832" max="2832" width="10.109375" style="1612" customWidth="1"/>
    <col min="2833" max="2833" width="11.44140625" style="1612" customWidth="1"/>
    <col min="2834" max="2834" width="13" style="1612" customWidth="1"/>
    <col min="2835" max="2835" width="11.5546875" style="1612" customWidth="1"/>
    <col min="2836" max="2836" width="9.6640625" style="1612" bestFit="1" customWidth="1"/>
    <col min="2837" max="2837" width="9.109375" style="1612"/>
    <col min="2838" max="2838" width="10.109375" style="1612" bestFit="1" customWidth="1"/>
    <col min="2839" max="3072" width="9.109375" style="1612"/>
    <col min="3073" max="3073" width="14.88671875" style="1612" customWidth="1"/>
    <col min="3074" max="3074" width="10.33203125" style="1612" bestFit="1" customWidth="1"/>
    <col min="3075" max="3075" width="11.33203125" style="1612" customWidth="1"/>
    <col min="3076" max="3076" width="16.88671875" style="1612" customWidth="1"/>
    <col min="3077" max="3077" width="20.88671875" style="1612" customWidth="1"/>
    <col min="3078" max="3078" width="74.44140625" style="1612" customWidth="1"/>
    <col min="3079" max="3079" width="26.109375" style="1612" customWidth="1"/>
    <col min="3080" max="3087" width="0" style="1612" hidden="1" customWidth="1"/>
    <col min="3088" max="3088" width="10.109375" style="1612" customWidth="1"/>
    <col min="3089" max="3089" width="11.44140625" style="1612" customWidth="1"/>
    <col min="3090" max="3090" width="13" style="1612" customWidth="1"/>
    <col min="3091" max="3091" width="11.5546875" style="1612" customWidth="1"/>
    <col min="3092" max="3092" width="9.6640625" style="1612" bestFit="1" customWidth="1"/>
    <col min="3093" max="3093" width="9.109375" style="1612"/>
    <col min="3094" max="3094" width="10.109375" style="1612" bestFit="1" customWidth="1"/>
    <col min="3095" max="3328" width="9.109375" style="1612"/>
    <col min="3329" max="3329" width="14.88671875" style="1612" customWidth="1"/>
    <col min="3330" max="3330" width="10.33203125" style="1612" bestFit="1" customWidth="1"/>
    <col min="3331" max="3331" width="11.33203125" style="1612" customWidth="1"/>
    <col min="3332" max="3332" width="16.88671875" style="1612" customWidth="1"/>
    <col min="3333" max="3333" width="20.88671875" style="1612" customWidth="1"/>
    <col min="3334" max="3334" width="74.44140625" style="1612" customWidth="1"/>
    <col min="3335" max="3335" width="26.109375" style="1612" customWidth="1"/>
    <col min="3336" max="3343" width="0" style="1612" hidden="1" customWidth="1"/>
    <col min="3344" max="3344" width="10.109375" style="1612" customWidth="1"/>
    <col min="3345" max="3345" width="11.44140625" style="1612" customWidth="1"/>
    <col min="3346" max="3346" width="13" style="1612" customWidth="1"/>
    <col min="3347" max="3347" width="11.5546875" style="1612" customWidth="1"/>
    <col min="3348" max="3348" width="9.6640625" style="1612" bestFit="1" customWidth="1"/>
    <col min="3349" max="3349" width="9.109375" style="1612"/>
    <col min="3350" max="3350" width="10.109375" style="1612" bestFit="1" customWidth="1"/>
    <col min="3351" max="3584" width="9.109375" style="1612"/>
    <col min="3585" max="3585" width="14.88671875" style="1612" customWidth="1"/>
    <col min="3586" max="3586" width="10.33203125" style="1612" bestFit="1" customWidth="1"/>
    <col min="3587" max="3587" width="11.33203125" style="1612" customWidth="1"/>
    <col min="3588" max="3588" width="16.88671875" style="1612" customWidth="1"/>
    <col min="3589" max="3589" width="20.88671875" style="1612" customWidth="1"/>
    <col min="3590" max="3590" width="74.44140625" style="1612" customWidth="1"/>
    <col min="3591" max="3591" width="26.109375" style="1612" customWidth="1"/>
    <col min="3592" max="3599" width="0" style="1612" hidden="1" customWidth="1"/>
    <col min="3600" max="3600" width="10.109375" style="1612" customWidth="1"/>
    <col min="3601" max="3601" width="11.44140625" style="1612" customWidth="1"/>
    <col min="3602" max="3602" width="13" style="1612" customWidth="1"/>
    <col min="3603" max="3603" width="11.5546875" style="1612" customWidth="1"/>
    <col min="3604" max="3604" width="9.6640625" style="1612" bestFit="1" customWidth="1"/>
    <col min="3605" max="3605" width="9.109375" style="1612"/>
    <col min="3606" max="3606" width="10.109375" style="1612" bestFit="1" customWidth="1"/>
    <col min="3607" max="3840" width="9.109375" style="1612"/>
    <col min="3841" max="3841" width="14.88671875" style="1612" customWidth="1"/>
    <col min="3842" max="3842" width="10.33203125" style="1612" bestFit="1" customWidth="1"/>
    <col min="3843" max="3843" width="11.33203125" style="1612" customWidth="1"/>
    <col min="3844" max="3844" width="16.88671875" style="1612" customWidth="1"/>
    <col min="3845" max="3845" width="20.88671875" style="1612" customWidth="1"/>
    <col min="3846" max="3846" width="74.44140625" style="1612" customWidth="1"/>
    <col min="3847" max="3847" width="26.109375" style="1612" customWidth="1"/>
    <col min="3848" max="3855" width="0" style="1612" hidden="1" customWidth="1"/>
    <col min="3856" max="3856" width="10.109375" style="1612" customWidth="1"/>
    <col min="3857" max="3857" width="11.44140625" style="1612" customWidth="1"/>
    <col min="3858" max="3858" width="13" style="1612" customWidth="1"/>
    <col min="3859" max="3859" width="11.5546875" style="1612" customWidth="1"/>
    <col min="3860" max="3860" width="9.6640625" style="1612" bestFit="1" customWidth="1"/>
    <col min="3861" max="3861" width="9.109375" style="1612"/>
    <col min="3862" max="3862" width="10.109375" style="1612" bestFit="1" customWidth="1"/>
    <col min="3863" max="4096" width="9.109375" style="1612"/>
    <col min="4097" max="4097" width="14.88671875" style="1612" customWidth="1"/>
    <col min="4098" max="4098" width="10.33203125" style="1612" bestFit="1" customWidth="1"/>
    <col min="4099" max="4099" width="11.33203125" style="1612" customWidth="1"/>
    <col min="4100" max="4100" width="16.88671875" style="1612" customWidth="1"/>
    <col min="4101" max="4101" width="20.88671875" style="1612" customWidth="1"/>
    <col min="4102" max="4102" width="74.44140625" style="1612" customWidth="1"/>
    <col min="4103" max="4103" width="26.109375" style="1612" customWidth="1"/>
    <col min="4104" max="4111" width="0" style="1612" hidden="1" customWidth="1"/>
    <col min="4112" max="4112" width="10.109375" style="1612" customWidth="1"/>
    <col min="4113" max="4113" width="11.44140625" style="1612" customWidth="1"/>
    <col min="4114" max="4114" width="13" style="1612" customWidth="1"/>
    <col min="4115" max="4115" width="11.5546875" style="1612" customWidth="1"/>
    <col min="4116" max="4116" width="9.6640625" style="1612" bestFit="1" customWidth="1"/>
    <col min="4117" max="4117" width="9.109375" style="1612"/>
    <col min="4118" max="4118" width="10.109375" style="1612" bestFit="1" customWidth="1"/>
    <col min="4119" max="4352" width="9.109375" style="1612"/>
    <col min="4353" max="4353" width="14.88671875" style="1612" customWidth="1"/>
    <col min="4354" max="4354" width="10.33203125" style="1612" bestFit="1" customWidth="1"/>
    <col min="4355" max="4355" width="11.33203125" style="1612" customWidth="1"/>
    <col min="4356" max="4356" width="16.88671875" style="1612" customWidth="1"/>
    <col min="4357" max="4357" width="20.88671875" style="1612" customWidth="1"/>
    <col min="4358" max="4358" width="74.44140625" style="1612" customWidth="1"/>
    <col min="4359" max="4359" width="26.109375" style="1612" customWidth="1"/>
    <col min="4360" max="4367" width="0" style="1612" hidden="1" customWidth="1"/>
    <col min="4368" max="4368" width="10.109375" style="1612" customWidth="1"/>
    <col min="4369" max="4369" width="11.44140625" style="1612" customWidth="1"/>
    <col min="4370" max="4370" width="13" style="1612" customWidth="1"/>
    <col min="4371" max="4371" width="11.5546875" style="1612" customWidth="1"/>
    <col min="4372" max="4372" width="9.6640625" style="1612" bestFit="1" customWidth="1"/>
    <col min="4373" max="4373" width="9.109375" style="1612"/>
    <col min="4374" max="4374" width="10.109375" style="1612" bestFit="1" customWidth="1"/>
    <col min="4375" max="4608" width="9.109375" style="1612"/>
    <col min="4609" max="4609" width="14.88671875" style="1612" customWidth="1"/>
    <col min="4610" max="4610" width="10.33203125" style="1612" bestFit="1" customWidth="1"/>
    <col min="4611" max="4611" width="11.33203125" style="1612" customWidth="1"/>
    <col min="4612" max="4612" width="16.88671875" style="1612" customWidth="1"/>
    <col min="4613" max="4613" width="20.88671875" style="1612" customWidth="1"/>
    <col min="4614" max="4614" width="74.44140625" style="1612" customWidth="1"/>
    <col min="4615" max="4615" width="26.109375" style="1612" customWidth="1"/>
    <col min="4616" max="4623" width="0" style="1612" hidden="1" customWidth="1"/>
    <col min="4624" max="4624" width="10.109375" style="1612" customWidth="1"/>
    <col min="4625" max="4625" width="11.44140625" style="1612" customWidth="1"/>
    <col min="4626" max="4626" width="13" style="1612" customWidth="1"/>
    <col min="4627" max="4627" width="11.5546875" style="1612" customWidth="1"/>
    <col min="4628" max="4628" width="9.6640625" style="1612" bestFit="1" customWidth="1"/>
    <col min="4629" max="4629" width="9.109375" style="1612"/>
    <col min="4630" max="4630" width="10.109375" style="1612" bestFit="1" customWidth="1"/>
    <col min="4631" max="4864" width="9.109375" style="1612"/>
    <col min="4865" max="4865" width="14.88671875" style="1612" customWidth="1"/>
    <col min="4866" max="4866" width="10.33203125" style="1612" bestFit="1" customWidth="1"/>
    <col min="4867" max="4867" width="11.33203125" style="1612" customWidth="1"/>
    <col min="4868" max="4868" width="16.88671875" style="1612" customWidth="1"/>
    <col min="4869" max="4869" width="20.88671875" style="1612" customWidth="1"/>
    <col min="4870" max="4870" width="74.44140625" style="1612" customWidth="1"/>
    <col min="4871" max="4871" width="26.109375" style="1612" customWidth="1"/>
    <col min="4872" max="4879" width="0" style="1612" hidden="1" customWidth="1"/>
    <col min="4880" max="4880" width="10.109375" style="1612" customWidth="1"/>
    <col min="4881" max="4881" width="11.44140625" style="1612" customWidth="1"/>
    <col min="4882" max="4882" width="13" style="1612" customWidth="1"/>
    <col min="4883" max="4883" width="11.5546875" style="1612" customWidth="1"/>
    <col min="4884" max="4884" width="9.6640625" style="1612" bestFit="1" customWidth="1"/>
    <col min="4885" max="4885" width="9.109375" style="1612"/>
    <col min="4886" max="4886" width="10.109375" style="1612" bestFit="1" customWidth="1"/>
    <col min="4887" max="5120" width="9.109375" style="1612"/>
    <col min="5121" max="5121" width="14.88671875" style="1612" customWidth="1"/>
    <col min="5122" max="5122" width="10.33203125" style="1612" bestFit="1" customWidth="1"/>
    <col min="5123" max="5123" width="11.33203125" style="1612" customWidth="1"/>
    <col min="5124" max="5124" width="16.88671875" style="1612" customWidth="1"/>
    <col min="5125" max="5125" width="20.88671875" style="1612" customWidth="1"/>
    <col min="5126" max="5126" width="74.44140625" style="1612" customWidth="1"/>
    <col min="5127" max="5127" width="26.109375" style="1612" customWidth="1"/>
    <col min="5128" max="5135" width="0" style="1612" hidden="1" customWidth="1"/>
    <col min="5136" max="5136" width="10.109375" style="1612" customWidth="1"/>
    <col min="5137" max="5137" width="11.44140625" style="1612" customWidth="1"/>
    <col min="5138" max="5138" width="13" style="1612" customWidth="1"/>
    <col min="5139" max="5139" width="11.5546875" style="1612" customWidth="1"/>
    <col min="5140" max="5140" width="9.6640625" style="1612" bestFit="1" customWidth="1"/>
    <col min="5141" max="5141" width="9.109375" style="1612"/>
    <col min="5142" max="5142" width="10.109375" style="1612" bestFit="1" customWidth="1"/>
    <col min="5143" max="5376" width="9.109375" style="1612"/>
    <col min="5377" max="5377" width="14.88671875" style="1612" customWidth="1"/>
    <col min="5378" max="5378" width="10.33203125" style="1612" bestFit="1" customWidth="1"/>
    <col min="5379" max="5379" width="11.33203125" style="1612" customWidth="1"/>
    <col min="5380" max="5380" width="16.88671875" style="1612" customWidth="1"/>
    <col min="5381" max="5381" width="20.88671875" style="1612" customWidth="1"/>
    <col min="5382" max="5382" width="74.44140625" style="1612" customWidth="1"/>
    <col min="5383" max="5383" width="26.109375" style="1612" customWidth="1"/>
    <col min="5384" max="5391" width="0" style="1612" hidden="1" customWidth="1"/>
    <col min="5392" max="5392" width="10.109375" style="1612" customWidth="1"/>
    <col min="5393" max="5393" width="11.44140625" style="1612" customWidth="1"/>
    <col min="5394" max="5394" width="13" style="1612" customWidth="1"/>
    <col min="5395" max="5395" width="11.5546875" style="1612" customWidth="1"/>
    <col min="5396" max="5396" width="9.6640625" style="1612" bestFit="1" customWidth="1"/>
    <col min="5397" max="5397" width="9.109375" style="1612"/>
    <col min="5398" max="5398" width="10.109375" style="1612" bestFit="1" customWidth="1"/>
    <col min="5399" max="5632" width="9.109375" style="1612"/>
    <col min="5633" max="5633" width="14.88671875" style="1612" customWidth="1"/>
    <col min="5634" max="5634" width="10.33203125" style="1612" bestFit="1" customWidth="1"/>
    <col min="5635" max="5635" width="11.33203125" style="1612" customWidth="1"/>
    <col min="5636" max="5636" width="16.88671875" style="1612" customWidth="1"/>
    <col min="5637" max="5637" width="20.88671875" style="1612" customWidth="1"/>
    <col min="5638" max="5638" width="74.44140625" style="1612" customWidth="1"/>
    <col min="5639" max="5639" width="26.109375" style="1612" customWidth="1"/>
    <col min="5640" max="5647" width="0" style="1612" hidden="1" customWidth="1"/>
    <col min="5648" max="5648" width="10.109375" style="1612" customWidth="1"/>
    <col min="5649" max="5649" width="11.44140625" style="1612" customWidth="1"/>
    <col min="5650" max="5650" width="13" style="1612" customWidth="1"/>
    <col min="5651" max="5651" width="11.5546875" style="1612" customWidth="1"/>
    <col min="5652" max="5652" width="9.6640625" style="1612" bestFit="1" customWidth="1"/>
    <col min="5653" max="5653" width="9.109375" style="1612"/>
    <col min="5654" max="5654" width="10.109375" style="1612" bestFit="1" customWidth="1"/>
    <col min="5655" max="5888" width="9.109375" style="1612"/>
    <col min="5889" max="5889" width="14.88671875" style="1612" customWidth="1"/>
    <col min="5890" max="5890" width="10.33203125" style="1612" bestFit="1" customWidth="1"/>
    <col min="5891" max="5891" width="11.33203125" style="1612" customWidth="1"/>
    <col min="5892" max="5892" width="16.88671875" style="1612" customWidth="1"/>
    <col min="5893" max="5893" width="20.88671875" style="1612" customWidth="1"/>
    <col min="5894" max="5894" width="74.44140625" style="1612" customWidth="1"/>
    <col min="5895" max="5895" width="26.109375" style="1612" customWidth="1"/>
    <col min="5896" max="5903" width="0" style="1612" hidden="1" customWidth="1"/>
    <col min="5904" max="5904" width="10.109375" style="1612" customWidth="1"/>
    <col min="5905" max="5905" width="11.44140625" style="1612" customWidth="1"/>
    <col min="5906" max="5906" width="13" style="1612" customWidth="1"/>
    <col min="5907" max="5907" width="11.5546875" style="1612" customWidth="1"/>
    <col min="5908" max="5908" width="9.6640625" style="1612" bestFit="1" customWidth="1"/>
    <col min="5909" max="5909" width="9.109375" style="1612"/>
    <col min="5910" max="5910" width="10.109375" style="1612" bestFit="1" customWidth="1"/>
    <col min="5911" max="6144" width="9.109375" style="1612"/>
    <col min="6145" max="6145" width="14.88671875" style="1612" customWidth="1"/>
    <col min="6146" max="6146" width="10.33203125" style="1612" bestFit="1" customWidth="1"/>
    <col min="6147" max="6147" width="11.33203125" style="1612" customWidth="1"/>
    <col min="6148" max="6148" width="16.88671875" style="1612" customWidth="1"/>
    <col min="6149" max="6149" width="20.88671875" style="1612" customWidth="1"/>
    <col min="6150" max="6150" width="74.44140625" style="1612" customWidth="1"/>
    <col min="6151" max="6151" width="26.109375" style="1612" customWidth="1"/>
    <col min="6152" max="6159" width="0" style="1612" hidden="1" customWidth="1"/>
    <col min="6160" max="6160" width="10.109375" style="1612" customWidth="1"/>
    <col min="6161" max="6161" width="11.44140625" style="1612" customWidth="1"/>
    <col min="6162" max="6162" width="13" style="1612" customWidth="1"/>
    <col min="6163" max="6163" width="11.5546875" style="1612" customWidth="1"/>
    <col min="6164" max="6164" width="9.6640625" style="1612" bestFit="1" customWidth="1"/>
    <col min="6165" max="6165" width="9.109375" style="1612"/>
    <col min="6166" max="6166" width="10.109375" style="1612" bestFit="1" customWidth="1"/>
    <col min="6167" max="6400" width="9.109375" style="1612"/>
    <col min="6401" max="6401" width="14.88671875" style="1612" customWidth="1"/>
    <col min="6402" max="6402" width="10.33203125" style="1612" bestFit="1" customWidth="1"/>
    <col min="6403" max="6403" width="11.33203125" style="1612" customWidth="1"/>
    <col min="6404" max="6404" width="16.88671875" style="1612" customWidth="1"/>
    <col min="6405" max="6405" width="20.88671875" style="1612" customWidth="1"/>
    <col min="6406" max="6406" width="74.44140625" style="1612" customWidth="1"/>
    <col min="6407" max="6407" width="26.109375" style="1612" customWidth="1"/>
    <col min="6408" max="6415" width="0" style="1612" hidden="1" customWidth="1"/>
    <col min="6416" max="6416" width="10.109375" style="1612" customWidth="1"/>
    <col min="6417" max="6417" width="11.44140625" style="1612" customWidth="1"/>
    <col min="6418" max="6418" width="13" style="1612" customWidth="1"/>
    <col min="6419" max="6419" width="11.5546875" style="1612" customWidth="1"/>
    <col min="6420" max="6420" width="9.6640625" style="1612" bestFit="1" customWidth="1"/>
    <col min="6421" max="6421" width="9.109375" style="1612"/>
    <col min="6422" max="6422" width="10.109375" style="1612" bestFit="1" customWidth="1"/>
    <col min="6423" max="6656" width="9.109375" style="1612"/>
    <col min="6657" max="6657" width="14.88671875" style="1612" customWidth="1"/>
    <col min="6658" max="6658" width="10.33203125" style="1612" bestFit="1" customWidth="1"/>
    <col min="6659" max="6659" width="11.33203125" style="1612" customWidth="1"/>
    <col min="6660" max="6660" width="16.88671875" style="1612" customWidth="1"/>
    <col min="6661" max="6661" width="20.88671875" style="1612" customWidth="1"/>
    <col min="6662" max="6662" width="74.44140625" style="1612" customWidth="1"/>
    <col min="6663" max="6663" width="26.109375" style="1612" customWidth="1"/>
    <col min="6664" max="6671" width="0" style="1612" hidden="1" customWidth="1"/>
    <col min="6672" max="6672" width="10.109375" style="1612" customWidth="1"/>
    <col min="6673" max="6673" width="11.44140625" style="1612" customWidth="1"/>
    <col min="6674" max="6674" width="13" style="1612" customWidth="1"/>
    <col min="6675" max="6675" width="11.5546875" style="1612" customWidth="1"/>
    <col min="6676" max="6676" width="9.6640625" style="1612" bestFit="1" customWidth="1"/>
    <col min="6677" max="6677" width="9.109375" style="1612"/>
    <col min="6678" max="6678" width="10.109375" style="1612" bestFit="1" customWidth="1"/>
    <col min="6679" max="6912" width="9.109375" style="1612"/>
    <col min="6913" max="6913" width="14.88671875" style="1612" customWidth="1"/>
    <col min="6914" max="6914" width="10.33203125" style="1612" bestFit="1" customWidth="1"/>
    <col min="6915" max="6915" width="11.33203125" style="1612" customWidth="1"/>
    <col min="6916" max="6916" width="16.88671875" style="1612" customWidth="1"/>
    <col min="6917" max="6917" width="20.88671875" style="1612" customWidth="1"/>
    <col min="6918" max="6918" width="74.44140625" style="1612" customWidth="1"/>
    <col min="6919" max="6919" width="26.109375" style="1612" customWidth="1"/>
    <col min="6920" max="6927" width="0" style="1612" hidden="1" customWidth="1"/>
    <col min="6928" max="6928" width="10.109375" style="1612" customWidth="1"/>
    <col min="6929" max="6929" width="11.44140625" style="1612" customWidth="1"/>
    <col min="6930" max="6930" width="13" style="1612" customWidth="1"/>
    <col min="6931" max="6931" width="11.5546875" style="1612" customWidth="1"/>
    <col min="6932" max="6932" width="9.6640625" style="1612" bestFit="1" customWidth="1"/>
    <col min="6933" max="6933" width="9.109375" style="1612"/>
    <col min="6934" max="6934" width="10.109375" style="1612" bestFit="1" customWidth="1"/>
    <col min="6935" max="7168" width="9.109375" style="1612"/>
    <col min="7169" max="7169" width="14.88671875" style="1612" customWidth="1"/>
    <col min="7170" max="7170" width="10.33203125" style="1612" bestFit="1" customWidth="1"/>
    <col min="7171" max="7171" width="11.33203125" style="1612" customWidth="1"/>
    <col min="7172" max="7172" width="16.88671875" style="1612" customWidth="1"/>
    <col min="7173" max="7173" width="20.88671875" style="1612" customWidth="1"/>
    <col min="7174" max="7174" width="74.44140625" style="1612" customWidth="1"/>
    <col min="7175" max="7175" width="26.109375" style="1612" customWidth="1"/>
    <col min="7176" max="7183" width="0" style="1612" hidden="1" customWidth="1"/>
    <col min="7184" max="7184" width="10.109375" style="1612" customWidth="1"/>
    <col min="7185" max="7185" width="11.44140625" style="1612" customWidth="1"/>
    <col min="7186" max="7186" width="13" style="1612" customWidth="1"/>
    <col min="7187" max="7187" width="11.5546875" style="1612" customWidth="1"/>
    <col min="7188" max="7188" width="9.6640625" style="1612" bestFit="1" customWidth="1"/>
    <col min="7189" max="7189" width="9.109375" style="1612"/>
    <col min="7190" max="7190" width="10.109375" style="1612" bestFit="1" customWidth="1"/>
    <col min="7191" max="7424" width="9.109375" style="1612"/>
    <col min="7425" max="7425" width="14.88671875" style="1612" customWidth="1"/>
    <col min="7426" max="7426" width="10.33203125" style="1612" bestFit="1" customWidth="1"/>
    <col min="7427" max="7427" width="11.33203125" style="1612" customWidth="1"/>
    <col min="7428" max="7428" width="16.88671875" style="1612" customWidth="1"/>
    <col min="7429" max="7429" width="20.88671875" style="1612" customWidth="1"/>
    <col min="7430" max="7430" width="74.44140625" style="1612" customWidth="1"/>
    <col min="7431" max="7431" width="26.109375" style="1612" customWidth="1"/>
    <col min="7432" max="7439" width="0" style="1612" hidden="1" customWidth="1"/>
    <col min="7440" max="7440" width="10.109375" style="1612" customWidth="1"/>
    <col min="7441" max="7441" width="11.44140625" style="1612" customWidth="1"/>
    <col min="7442" max="7442" width="13" style="1612" customWidth="1"/>
    <col min="7443" max="7443" width="11.5546875" style="1612" customWidth="1"/>
    <col min="7444" max="7444" width="9.6640625" style="1612" bestFit="1" customWidth="1"/>
    <col min="7445" max="7445" width="9.109375" style="1612"/>
    <col min="7446" max="7446" width="10.109375" style="1612" bestFit="1" customWidth="1"/>
    <col min="7447" max="7680" width="9.109375" style="1612"/>
    <col min="7681" max="7681" width="14.88671875" style="1612" customWidth="1"/>
    <col min="7682" max="7682" width="10.33203125" style="1612" bestFit="1" customWidth="1"/>
    <col min="7683" max="7683" width="11.33203125" style="1612" customWidth="1"/>
    <col min="7684" max="7684" width="16.88671875" style="1612" customWidth="1"/>
    <col min="7685" max="7685" width="20.88671875" style="1612" customWidth="1"/>
    <col min="7686" max="7686" width="74.44140625" style="1612" customWidth="1"/>
    <col min="7687" max="7687" width="26.109375" style="1612" customWidth="1"/>
    <col min="7688" max="7695" width="0" style="1612" hidden="1" customWidth="1"/>
    <col min="7696" max="7696" width="10.109375" style="1612" customWidth="1"/>
    <col min="7697" max="7697" width="11.44140625" style="1612" customWidth="1"/>
    <col min="7698" max="7698" width="13" style="1612" customWidth="1"/>
    <col min="7699" max="7699" width="11.5546875" style="1612" customWidth="1"/>
    <col min="7700" max="7700" width="9.6640625" style="1612" bestFit="1" customWidth="1"/>
    <col min="7701" max="7701" width="9.109375" style="1612"/>
    <col min="7702" max="7702" width="10.109375" style="1612" bestFit="1" customWidth="1"/>
    <col min="7703" max="7936" width="9.109375" style="1612"/>
    <col min="7937" max="7937" width="14.88671875" style="1612" customWidth="1"/>
    <col min="7938" max="7938" width="10.33203125" style="1612" bestFit="1" customWidth="1"/>
    <col min="7939" max="7939" width="11.33203125" style="1612" customWidth="1"/>
    <col min="7940" max="7940" width="16.88671875" style="1612" customWidth="1"/>
    <col min="7941" max="7941" width="20.88671875" style="1612" customWidth="1"/>
    <col min="7942" max="7942" width="74.44140625" style="1612" customWidth="1"/>
    <col min="7943" max="7943" width="26.109375" style="1612" customWidth="1"/>
    <col min="7944" max="7951" width="0" style="1612" hidden="1" customWidth="1"/>
    <col min="7952" max="7952" width="10.109375" style="1612" customWidth="1"/>
    <col min="7953" max="7953" width="11.44140625" style="1612" customWidth="1"/>
    <col min="7954" max="7954" width="13" style="1612" customWidth="1"/>
    <col min="7955" max="7955" width="11.5546875" style="1612" customWidth="1"/>
    <col min="7956" max="7956" width="9.6640625" style="1612" bestFit="1" customWidth="1"/>
    <col min="7957" max="7957" width="9.109375" style="1612"/>
    <col min="7958" max="7958" width="10.109375" style="1612" bestFit="1" customWidth="1"/>
    <col min="7959" max="8192" width="9.109375" style="1612"/>
    <col min="8193" max="8193" width="14.88671875" style="1612" customWidth="1"/>
    <col min="8194" max="8194" width="10.33203125" style="1612" bestFit="1" customWidth="1"/>
    <col min="8195" max="8195" width="11.33203125" style="1612" customWidth="1"/>
    <col min="8196" max="8196" width="16.88671875" style="1612" customWidth="1"/>
    <col min="8197" max="8197" width="20.88671875" style="1612" customWidth="1"/>
    <col min="8198" max="8198" width="74.44140625" style="1612" customWidth="1"/>
    <col min="8199" max="8199" width="26.109375" style="1612" customWidth="1"/>
    <col min="8200" max="8207" width="0" style="1612" hidden="1" customWidth="1"/>
    <col min="8208" max="8208" width="10.109375" style="1612" customWidth="1"/>
    <col min="8209" max="8209" width="11.44140625" style="1612" customWidth="1"/>
    <col min="8210" max="8210" width="13" style="1612" customWidth="1"/>
    <col min="8211" max="8211" width="11.5546875" style="1612" customWidth="1"/>
    <col min="8212" max="8212" width="9.6640625" style="1612" bestFit="1" customWidth="1"/>
    <col min="8213" max="8213" width="9.109375" style="1612"/>
    <col min="8214" max="8214" width="10.109375" style="1612" bestFit="1" customWidth="1"/>
    <col min="8215" max="8448" width="9.109375" style="1612"/>
    <col min="8449" max="8449" width="14.88671875" style="1612" customWidth="1"/>
    <col min="8450" max="8450" width="10.33203125" style="1612" bestFit="1" customWidth="1"/>
    <col min="8451" max="8451" width="11.33203125" style="1612" customWidth="1"/>
    <col min="8452" max="8452" width="16.88671875" style="1612" customWidth="1"/>
    <col min="8453" max="8453" width="20.88671875" style="1612" customWidth="1"/>
    <col min="8454" max="8454" width="74.44140625" style="1612" customWidth="1"/>
    <col min="8455" max="8455" width="26.109375" style="1612" customWidth="1"/>
    <col min="8456" max="8463" width="0" style="1612" hidden="1" customWidth="1"/>
    <col min="8464" max="8464" width="10.109375" style="1612" customWidth="1"/>
    <col min="8465" max="8465" width="11.44140625" style="1612" customWidth="1"/>
    <col min="8466" max="8466" width="13" style="1612" customWidth="1"/>
    <col min="8467" max="8467" width="11.5546875" style="1612" customWidth="1"/>
    <col min="8468" max="8468" width="9.6640625" style="1612" bestFit="1" customWidth="1"/>
    <col min="8469" max="8469" width="9.109375" style="1612"/>
    <col min="8470" max="8470" width="10.109375" style="1612" bestFit="1" customWidth="1"/>
    <col min="8471" max="8704" width="9.109375" style="1612"/>
    <col min="8705" max="8705" width="14.88671875" style="1612" customWidth="1"/>
    <col min="8706" max="8706" width="10.33203125" style="1612" bestFit="1" customWidth="1"/>
    <col min="8707" max="8707" width="11.33203125" style="1612" customWidth="1"/>
    <col min="8708" max="8708" width="16.88671875" style="1612" customWidth="1"/>
    <col min="8709" max="8709" width="20.88671875" style="1612" customWidth="1"/>
    <col min="8710" max="8710" width="74.44140625" style="1612" customWidth="1"/>
    <col min="8711" max="8711" width="26.109375" style="1612" customWidth="1"/>
    <col min="8712" max="8719" width="0" style="1612" hidden="1" customWidth="1"/>
    <col min="8720" max="8720" width="10.109375" style="1612" customWidth="1"/>
    <col min="8721" max="8721" width="11.44140625" style="1612" customWidth="1"/>
    <col min="8722" max="8722" width="13" style="1612" customWidth="1"/>
    <col min="8723" max="8723" width="11.5546875" style="1612" customWidth="1"/>
    <col min="8724" max="8724" width="9.6640625" style="1612" bestFit="1" customWidth="1"/>
    <col min="8725" max="8725" width="9.109375" style="1612"/>
    <col min="8726" max="8726" width="10.109375" style="1612" bestFit="1" customWidth="1"/>
    <col min="8727" max="8960" width="9.109375" style="1612"/>
    <col min="8961" max="8961" width="14.88671875" style="1612" customWidth="1"/>
    <col min="8962" max="8962" width="10.33203125" style="1612" bestFit="1" customWidth="1"/>
    <col min="8963" max="8963" width="11.33203125" style="1612" customWidth="1"/>
    <col min="8964" max="8964" width="16.88671875" style="1612" customWidth="1"/>
    <col min="8965" max="8965" width="20.88671875" style="1612" customWidth="1"/>
    <col min="8966" max="8966" width="74.44140625" style="1612" customWidth="1"/>
    <col min="8967" max="8967" width="26.109375" style="1612" customWidth="1"/>
    <col min="8968" max="8975" width="0" style="1612" hidden="1" customWidth="1"/>
    <col min="8976" max="8976" width="10.109375" style="1612" customWidth="1"/>
    <col min="8977" max="8977" width="11.44140625" style="1612" customWidth="1"/>
    <col min="8978" max="8978" width="13" style="1612" customWidth="1"/>
    <col min="8979" max="8979" width="11.5546875" style="1612" customWidth="1"/>
    <col min="8980" max="8980" width="9.6640625" style="1612" bestFit="1" customWidth="1"/>
    <col min="8981" max="8981" width="9.109375" style="1612"/>
    <col min="8982" max="8982" width="10.109375" style="1612" bestFit="1" customWidth="1"/>
    <col min="8983" max="9216" width="9.109375" style="1612"/>
    <col min="9217" max="9217" width="14.88671875" style="1612" customWidth="1"/>
    <col min="9218" max="9218" width="10.33203125" style="1612" bestFit="1" customWidth="1"/>
    <col min="9219" max="9219" width="11.33203125" style="1612" customWidth="1"/>
    <col min="9220" max="9220" width="16.88671875" style="1612" customWidth="1"/>
    <col min="9221" max="9221" width="20.88671875" style="1612" customWidth="1"/>
    <col min="9222" max="9222" width="74.44140625" style="1612" customWidth="1"/>
    <col min="9223" max="9223" width="26.109375" style="1612" customWidth="1"/>
    <col min="9224" max="9231" width="0" style="1612" hidden="1" customWidth="1"/>
    <col min="9232" max="9232" width="10.109375" style="1612" customWidth="1"/>
    <col min="9233" max="9233" width="11.44140625" style="1612" customWidth="1"/>
    <col min="9234" max="9234" width="13" style="1612" customWidth="1"/>
    <col min="9235" max="9235" width="11.5546875" style="1612" customWidth="1"/>
    <col min="9236" max="9236" width="9.6640625" style="1612" bestFit="1" customWidth="1"/>
    <col min="9237" max="9237" width="9.109375" style="1612"/>
    <col min="9238" max="9238" width="10.109375" style="1612" bestFit="1" customWidth="1"/>
    <col min="9239" max="9472" width="9.109375" style="1612"/>
    <col min="9473" max="9473" width="14.88671875" style="1612" customWidth="1"/>
    <col min="9474" max="9474" width="10.33203125" style="1612" bestFit="1" customWidth="1"/>
    <col min="9475" max="9475" width="11.33203125" style="1612" customWidth="1"/>
    <col min="9476" max="9476" width="16.88671875" style="1612" customWidth="1"/>
    <col min="9477" max="9477" width="20.88671875" style="1612" customWidth="1"/>
    <col min="9478" max="9478" width="74.44140625" style="1612" customWidth="1"/>
    <col min="9479" max="9479" width="26.109375" style="1612" customWidth="1"/>
    <col min="9480" max="9487" width="0" style="1612" hidden="1" customWidth="1"/>
    <col min="9488" max="9488" width="10.109375" style="1612" customWidth="1"/>
    <col min="9489" max="9489" width="11.44140625" style="1612" customWidth="1"/>
    <col min="9490" max="9490" width="13" style="1612" customWidth="1"/>
    <col min="9491" max="9491" width="11.5546875" style="1612" customWidth="1"/>
    <col min="9492" max="9492" width="9.6640625" style="1612" bestFit="1" customWidth="1"/>
    <col min="9493" max="9493" width="9.109375" style="1612"/>
    <col min="9494" max="9494" width="10.109375" style="1612" bestFit="1" customWidth="1"/>
    <col min="9495" max="9728" width="9.109375" style="1612"/>
    <col min="9729" max="9729" width="14.88671875" style="1612" customWidth="1"/>
    <col min="9730" max="9730" width="10.33203125" style="1612" bestFit="1" customWidth="1"/>
    <col min="9731" max="9731" width="11.33203125" style="1612" customWidth="1"/>
    <col min="9732" max="9732" width="16.88671875" style="1612" customWidth="1"/>
    <col min="9733" max="9733" width="20.88671875" style="1612" customWidth="1"/>
    <col min="9734" max="9734" width="74.44140625" style="1612" customWidth="1"/>
    <col min="9735" max="9735" width="26.109375" style="1612" customWidth="1"/>
    <col min="9736" max="9743" width="0" style="1612" hidden="1" customWidth="1"/>
    <col min="9744" max="9744" width="10.109375" style="1612" customWidth="1"/>
    <col min="9745" max="9745" width="11.44140625" style="1612" customWidth="1"/>
    <col min="9746" max="9746" width="13" style="1612" customWidth="1"/>
    <col min="9747" max="9747" width="11.5546875" style="1612" customWidth="1"/>
    <col min="9748" max="9748" width="9.6640625" style="1612" bestFit="1" customWidth="1"/>
    <col min="9749" max="9749" width="9.109375" style="1612"/>
    <col min="9750" max="9750" width="10.109375" style="1612" bestFit="1" customWidth="1"/>
    <col min="9751" max="9984" width="9.109375" style="1612"/>
    <col min="9985" max="9985" width="14.88671875" style="1612" customWidth="1"/>
    <col min="9986" max="9986" width="10.33203125" style="1612" bestFit="1" customWidth="1"/>
    <col min="9987" max="9987" width="11.33203125" style="1612" customWidth="1"/>
    <col min="9988" max="9988" width="16.88671875" style="1612" customWidth="1"/>
    <col min="9989" max="9989" width="20.88671875" style="1612" customWidth="1"/>
    <col min="9990" max="9990" width="74.44140625" style="1612" customWidth="1"/>
    <col min="9991" max="9991" width="26.109375" style="1612" customWidth="1"/>
    <col min="9992" max="9999" width="0" style="1612" hidden="1" customWidth="1"/>
    <col min="10000" max="10000" width="10.109375" style="1612" customWidth="1"/>
    <col min="10001" max="10001" width="11.44140625" style="1612" customWidth="1"/>
    <col min="10002" max="10002" width="13" style="1612" customWidth="1"/>
    <col min="10003" max="10003" width="11.5546875" style="1612" customWidth="1"/>
    <col min="10004" max="10004" width="9.6640625" style="1612" bestFit="1" customWidth="1"/>
    <col min="10005" max="10005" width="9.109375" style="1612"/>
    <col min="10006" max="10006" width="10.109375" style="1612" bestFit="1" customWidth="1"/>
    <col min="10007" max="10240" width="9.109375" style="1612"/>
    <col min="10241" max="10241" width="14.88671875" style="1612" customWidth="1"/>
    <col min="10242" max="10242" width="10.33203125" style="1612" bestFit="1" customWidth="1"/>
    <col min="10243" max="10243" width="11.33203125" style="1612" customWidth="1"/>
    <col min="10244" max="10244" width="16.88671875" style="1612" customWidth="1"/>
    <col min="10245" max="10245" width="20.88671875" style="1612" customWidth="1"/>
    <col min="10246" max="10246" width="74.44140625" style="1612" customWidth="1"/>
    <col min="10247" max="10247" width="26.109375" style="1612" customWidth="1"/>
    <col min="10248" max="10255" width="0" style="1612" hidden="1" customWidth="1"/>
    <col min="10256" max="10256" width="10.109375" style="1612" customWidth="1"/>
    <col min="10257" max="10257" width="11.44140625" style="1612" customWidth="1"/>
    <col min="10258" max="10258" width="13" style="1612" customWidth="1"/>
    <col min="10259" max="10259" width="11.5546875" style="1612" customWidth="1"/>
    <col min="10260" max="10260" width="9.6640625" style="1612" bestFit="1" customWidth="1"/>
    <col min="10261" max="10261" width="9.109375" style="1612"/>
    <col min="10262" max="10262" width="10.109375" style="1612" bestFit="1" customWidth="1"/>
    <col min="10263" max="10496" width="9.109375" style="1612"/>
    <col min="10497" max="10497" width="14.88671875" style="1612" customWidth="1"/>
    <col min="10498" max="10498" width="10.33203125" style="1612" bestFit="1" customWidth="1"/>
    <col min="10499" max="10499" width="11.33203125" style="1612" customWidth="1"/>
    <col min="10500" max="10500" width="16.88671875" style="1612" customWidth="1"/>
    <col min="10501" max="10501" width="20.88671875" style="1612" customWidth="1"/>
    <col min="10502" max="10502" width="74.44140625" style="1612" customWidth="1"/>
    <col min="10503" max="10503" width="26.109375" style="1612" customWidth="1"/>
    <col min="10504" max="10511" width="0" style="1612" hidden="1" customWidth="1"/>
    <col min="10512" max="10512" width="10.109375" style="1612" customWidth="1"/>
    <col min="10513" max="10513" width="11.44140625" style="1612" customWidth="1"/>
    <col min="10514" max="10514" width="13" style="1612" customWidth="1"/>
    <col min="10515" max="10515" width="11.5546875" style="1612" customWidth="1"/>
    <col min="10516" max="10516" width="9.6640625" style="1612" bestFit="1" customWidth="1"/>
    <col min="10517" max="10517" width="9.109375" style="1612"/>
    <col min="10518" max="10518" width="10.109375" style="1612" bestFit="1" customWidth="1"/>
    <col min="10519" max="10752" width="9.109375" style="1612"/>
    <col min="10753" max="10753" width="14.88671875" style="1612" customWidth="1"/>
    <col min="10754" max="10754" width="10.33203125" style="1612" bestFit="1" customWidth="1"/>
    <col min="10755" max="10755" width="11.33203125" style="1612" customWidth="1"/>
    <col min="10756" max="10756" width="16.88671875" style="1612" customWidth="1"/>
    <col min="10757" max="10757" width="20.88671875" style="1612" customWidth="1"/>
    <col min="10758" max="10758" width="74.44140625" style="1612" customWidth="1"/>
    <col min="10759" max="10759" width="26.109375" style="1612" customWidth="1"/>
    <col min="10760" max="10767" width="0" style="1612" hidden="1" customWidth="1"/>
    <col min="10768" max="10768" width="10.109375" style="1612" customWidth="1"/>
    <col min="10769" max="10769" width="11.44140625" style="1612" customWidth="1"/>
    <col min="10770" max="10770" width="13" style="1612" customWidth="1"/>
    <col min="10771" max="10771" width="11.5546875" style="1612" customWidth="1"/>
    <col min="10772" max="10772" width="9.6640625" style="1612" bestFit="1" customWidth="1"/>
    <col min="10773" max="10773" width="9.109375" style="1612"/>
    <col min="10774" max="10774" width="10.109375" style="1612" bestFit="1" customWidth="1"/>
    <col min="10775" max="11008" width="9.109375" style="1612"/>
    <col min="11009" max="11009" width="14.88671875" style="1612" customWidth="1"/>
    <col min="11010" max="11010" width="10.33203125" style="1612" bestFit="1" customWidth="1"/>
    <col min="11011" max="11011" width="11.33203125" style="1612" customWidth="1"/>
    <col min="11012" max="11012" width="16.88671875" style="1612" customWidth="1"/>
    <col min="11013" max="11013" width="20.88671875" style="1612" customWidth="1"/>
    <col min="11014" max="11014" width="74.44140625" style="1612" customWidth="1"/>
    <col min="11015" max="11015" width="26.109375" style="1612" customWidth="1"/>
    <col min="11016" max="11023" width="0" style="1612" hidden="1" customWidth="1"/>
    <col min="11024" max="11024" width="10.109375" style="1612" customWidth="1"/>
    <col min="11025" max="11025" width="11.44140625" style="1612" customWidth="1"/>
    <col min="11026" max="11026" width="13" style="1612" customWidth="1"/>
    <col min="11027" max="11027" width="11.5546875" style="1612" customWidth="1"/>
    <col min="11028" max="11028" width="9.6640625" style="1612" bestFit="1" customWidth="1"/>
    <col min="11029" max="11029" width="9.109375" style="1612"/>
    <col min="11030" max="11030" width="10.109375" style="1612" bestFit="1" customWidth="1"/>
    <col min="11031" max="11264" width="9.109375" style="1612"/>
    <col min="11265" max="11265" width="14.88671875" style="1612" customWidth="1"/>
    <col min="11266" max="11266" width="10.33203125" style="1612" bestFit="1" customWidth="1"/>
    <col min="11267" max="11267" width="11.33203125" style="1612" customWidth="1"/>
    <col min="11268" max="11268" width="16.88671875" style="1612" customWidth="1"/>
    <col min="11269" max="11269" width="20.88671875" style="1612" customWidth="1"/>
    <col min="11270" max="11270" width="74.44140625" style="1612" customWidth="1"/>
    <col min="11271" max="11271" width="26.109375" style="1612" customWidth="1"/>
    <col min="11272" max="11279" width="0" style="1612" hidden="1" customWidth="1"/>
    <col min="11280" max="11280" width="10.109375" style="1612" customWidth="1"/>
    <col min="11281" max="11281" width="11.44140625" style="1612" customWidth="1"/>
    <col min="11282" max="11282" width="13" style="1612" customWidth="1"/>
    <col min="11283" max="11283" width="11.5546875" style="1612" customWidth="1"/>
    <col min="11284" max="11284" width="9.6640625" style="1612" bestFit="1" customWidth="1"/>
    <col min="11285" max="11285" width="9.109375" style="1612"/>
    <col min="11286" max="11286" width="10.109375" style="1612" bestFit="1" customWidth="1"/>
    <col min="11287" max="11520" width="9.109375" style="1612"/>
    <col min="11521" max="11521" width="14.88671875" style="1612" customWidth="1"/>
    <col min="11522" max="11522" width="10.33203125" style="1612" bestFit="1" customWidth="1"/>
    <col min="11523" max="11523" width="11.33203125" style="1612" customWidth="1"/>
    <col min="11524" max="11524" width="16.88671875" style="1612" customWidth="1"/>
    <col min="11525" max="11525" width="20.88671875" style="1612" customWidth="1"/>
    <col min="11526" max="11526" width="74.44140625" style="1612" customWidth="1"/>
    <col min="11527" max="11527" width="26.109375" style="1612" customWidth="1"/>
    <col min="11528" max="11535" width="0" style="1612" hidden="1" customWidth="1"/>
    <col min="11536" max="11536" width="10.109375" style="1612" customWidth="1"/>
    <col min="11537" max="11537" width="11.44140625" style="1612" customWidth="1"/>
    <col min="11538" max="11538" width="13" style="1612" customWidth="1"/>
    <col min="11539" max="11539" width="11.5546875" style="1612" customWidth="1"/>
    <col min="11540" max="11540" width="9.6640625" style="1612" bestFit="1" customWidth="1"/>
    <col min="11541" max="11541" width="9.109375" style="1612"/>
    <col min="11542" max="11542" width="10.109375" style="1612" bestFit="1" customWidth="1"/>
    <col min="11543" max="11776" width="9.109375" style="1612"/>
    <col min="11777" max="11777" width="14.88671875" style="1612" customWidth="1"/>
    <col min="11778" max="11778" width="10.33203125" style="1612" bestFit="1" customWidth="1"/>
    <col min="11779" max="11779" width="11.33203125" style="1612" customWidth="1"/>
    <col min="11780" max="11780" width="16.88671875" style="1612" customWidth="1"/>
    <col min="11781" max="11781" width="20.88671875" style="1612" customWidth="1"/>
    <col min="11782" max="11782" width="74.44140625" style="1612" customWidth="1"/>
    <col min="11783" max="11783" width="26.109375" style="1612" customWidth="1"/>
    <col min="11784" max="11791" width="0" style="1612" hidden="1" customWidth="1"/>
    <col min="11792" max="11792" width="10.109375" style="1612" customWidth="1"/>
    <col min="11793" max="11793" width="11.44140625" style="1612" customWidth="1"/>
    <col min="11794" max="11794" width="13" style="1612" customWidth="1"/>
    <col min="11795" max="11795" width="11.5546875" style="1612" customWidth="1"/>
    <col min="11796" max="11796" width="9.6640625" style="1612" bestFit="1" customWidth="1"/>
    <col min="11797" max="11797" width="9.109375" style="1612"/>
    <col min="11798" max="11798" width="10.109375" style="1612" bestFit="1" customWidth="1"/>
    <col min="11799" max="12032" width="9.109375" style="1612"/>
    <col min="12033" max="12033" width="14.88671875" style="1612" customWidth="1"/>
    <col min="12034" max="12034" width="10.33203125" style="1612" bestFit="1" customWidth="1"/>
    <col min="12035" max="12035" width="11.33203125" style="1612" customWidth="1"/>
    <col min="12036" max="12036" width="16.88671875" style="1612" customWidth="1"/>
    <col min="12037" max="12037" width="20.88671875" style="1612" customWidth="1"/>
    <col min="12038" max="12038" width="74.44140625" style="1612" customWidth="1"/>
    <col min="12039" max="12039" width="26.109375" style="1612" customWidth="1"/>
    <col min="12040" max="12047" width="0" style="1612" hidden="1" customWidth="1"/>
    <col min="12048" max="12048" width="10.109375" style="1612" customWidth="1"/>
    <col min="12049" max="12049" width="11.44140625" style="1612" customWidth="1"/>
    <col min="12050" max="12050" width="13" style="1612" customWidth="1"/>
    <col min="12051" max="12051" width="11.5546875" style="1612" customWidth="1"/>
    <col min="12052" max="12052" width="9.6640625" style="1612" bestFit="1" customWidth="1"/>
    <col min="12053" max="12053" width="9.109375" style="1612"/>
    <col min="12054" max="12054" width="10.109375" style="1612" bestFit="1" customWidth="1"/>
    <col min="12055" max="12288" width="9.109375" style="1612"/>
    <col min="12289" max="12289" width="14.88671875" style="1612" customWidth="1"/>
    <col min="12290" max="12290" width="10.33203125" style="1612" bestFit="1" customWidth="1"/>
    <col min="12291" max="12291" width="11.33203125" style="1612" customWidth="1"/>
    <col min="12292" max="12292" width="16.88671875" style="1612" customWidth="1"/>
    <col min="12293" max="12293" width="20.88671875" style="1612" customWidth="1"/>
    <col min="12294" max="12294" width="74.44140625" style="1612" customWidth="1"/>
    <col min="12295" max="12295" width="26.109375" style="1612" customWidth="1"/>
    <col min="12296" max="12303" width="0" style="1612" hidden="1" customWidth="1"/>
    <col min="12304" max="12304" width="10.109375" style="1612" customWidth="1"/>
    <col min="12305" max="12305" width="11.44140625" style="1612" customWidth="1"/>
    <col min="12306" max="12306" width="13" style="1612" customWidth="1"/>
    <col min="12307" max="12307" width="11.5546875" style="1612" customWidth="1"/>
    <col min="12308" max="12308" width="9.6640625" style="1612" bestFit="1" customWidth="1"/>
    <col min="12309" max="12309" width="9.109375" style="1612"/>
    <col min="12310" max="12310" width="10.109375" style="1612" bestFit="1" customWidth="1"/>
    <col min="12311" max="12544" width="9.109375" style="1612"/>
    <col min="12545" max="12545" width="14.88671875" style="1612" customWidth="1"/>
    <col min="12546" max="12546" width="10.33203125" style="1612" bestFit="1" customWidth="1"/>
    <col min="12547" max="12547" width="11.33203125" style="1612" customWidth="1"/>
    <col min="12548" max="12548" width="16.88671875" style="1612" customWidth="1"/>
    <col min="12549" max="12549" width="20.88671875" style="1612" customWidth="1"/>
    <col min="12550" max="12550" width="74.44140625" style="1612" customWidth="1"/>
    <col min="12551" max="12551" width="26.109375" style="1612" customWidth="1"/>
    <col min="12552" max="12559" width="0" style="1612" hidden="1" customWidth="1"/>
    <col min="12560" max="12560" width="10.109375" style="1612" customWidth="1"/>
    <col min="12561" max="12561" width="11.44140625" style="1612" customWidth="1"/>
    <col min="12562" max="12562" width="13" style="1612" customWidth="1"/>
    <col min="12563" max="12563" width="11.5546875" style="1612" customWidth="1"/>
    <col min="12564" max="12564" width="9.6640625" style="1612" bestFit="1" customWidth="1"/>
    <col min="12565" max="12565" width="9.109375" style="1612"/>
    <col min="12566" max="12566" width="10.109375" style="1612" bestFit="1" customWidth="1"/>
    <col min="12567" max="12800" width="9.109375" style="1612"/>
    <col min="12801" max="12801" width="14.88671875" style="1612" customWidth="1"/>
    <col min="12802" max="12802" width="10.33203125" style="1612" bestFit="1" customWidth="1"/>
    <col min="12803" max="12803" width="11.33203125" style="1612" customWidth="1"/>
    <col min="12804" max="12804" width="16.88671875" style="1612" customWidth="1"/>
    <col min="12805" max="12805" width="20.88671875" style="1612" customWidth="1"/>
    <col min="12806" max="12806" width="74.44140625" style="1612" customWidth="1"/>
    <col min="12807" max="12807" width="26.109375" style="1612" customWidth="1"/>
    <col min="12808" max="12815" width="0" style="1612" hidden="1" customWidth="1"/>
    <col min="12816" max="12816" width="10.109375" style="1612" customWidth="1"/>
    <col min="12817" max="12817" width="11.44140625" style="1612" customWidth="1"/>
    <col min="12818" max="12818" width="13" style="1612" customWidth="1"/>
    <col min="12819" max="12819" width="11.5546875" style="1612" customWidth="1"/>
    <col min="12820" max="12820" width="9.6640625" style="1612" bestFit="1" customWidth="1"/>
    <col min="12821" max="12821" width="9.109375" style="1612"/>
    <col min="12822" max="12822" width="10.109375" style="1612" bestFit="1" customWidth="1"/>
    <col min="12823" max="13056" width="9.109375" style="1612"/>
    <col min="13057" max="13057" width="14.88671875" style="1612" customWidth="1"/>
    <col min="13058" max="13058" width="10.33203125" style="1612" bestFit="1" customWidth="1"/>
    <col min="13059" max="13059" width="11.33203125" style="1612" customWidth="1"/>
    <col min="13060" max="13060" width="16.88671875" style="1612" customWidth="1"/>
    <col min="13061" max="13061" width="20.88671875" style="1612" customWidth="1"/>
    <col min="13062" max="13062" width="74.44140625" style="1612" customWidth="1"/>
    <col min="13063" max="13063" width="26.109375" style="1612" customWidth="1"/>
    <col min="13064" max="13071" width="0" style="1612" hidden="1" customWidth="1"/>
    <col min="13072" max="13072" width="10.109375" style="1612" customWidth="1"/>
    <col min="13073" max="13073" width="11.44140625" style="1612" customWidth="1"/>
    <col min="13074" max="13074" width="13" style="1612" customWidth="1"/>
    <col min="13075" max="13075" width="11.5546875" style="1612" customWidth="1"/>
    <col min="13076" max="13076" width="9.6640625" style="1612" bestFit="1" customWidth="1"/>
    <col min="13077" max="13077" width="9.109375" style="1612"/>
    <col min="13078" max="13078" width="10.109375" style="1612" bestFit="1" customWidth="1"/>
    <col min="13079" max="13312" width="9.109375" style="1612"/>
    <col min="13313" max="13313" width="14.88671875" style="1612" customWidth="1"/>
    <col min="13314" max="13314" width="10.33203125" style="1612" bestFit="1" customWidth="1"/>
    <col min="13315" max="13315" width="11.33203125" style="1612" customWidth="1"/>
    <col min="13316" max="13316" width="16.88671875" style="1612" customWidth="1"/>
    <col min="13317" max="13317" width="20.88671875" style="1612" customWidth="1"/>
    <col min="13318" max="13318" width="74.44140625" style="1612" customWidth="1"/>
    <col min="13319" max="13319" width="26.109375" style="1612" customWidth="1"/>
    <col min="13320" max="13327" width="0" style="1612" hidden="1" customWidth="1"/>
    <col min="13328" max="13328" width="10.109375" style="1612" customWidth="1"/>
    <col min="13329" max="13329" width="11.44140625" style="1612" customWidth="1"/>
    <col min="13330" max="13330" width="13" style="1612" customWidth="1"/>
    <col min="13331" max="13331" width="11.5546875" style="1612" customWidth="1"/>
    <col min="13332" max="13332" width="9.6640625" style="1612" bestFit="1" customWidth="1"/>
    <col min="13333" max="13333" width="9.109375" style="1612"/>
    <col min="13334" max="13334" width="10.109375" style="1612" bestFit="1" customWidth="1"/>
    <col min="13335" max="13568" width="9.109375" style="1612"/>
    <col min="13569" max="13569" width="14.88671875" style="1612" customWidth="1"/>
    <col min="13570" max="13570" width="10.33203125" style="1612" bestFit="1" customWidth="1"/>
    <col min="13571" max="13571" width="11.33203125" style="1612" customWidth="1"/>
    <col min="13572" max="13572" width="16.88671875" style="1612" customWidth="1"/>
    <col min="13573" max="13573" width="20.88671875" style="1612" customWidth="1"/>
    <col min="13574" max="13574" width="74.44140625" style="1612" customWidth="1"/>
    <col min="13575" max="13575" width="26.109375" style="1612" customWidth="1"/>
    <col min="13576" max="13583" width="0" style="1612" hidden="1" customWidth="1"/>
    <col min="13584" max="13584" width="10.109375" style="1612" customWidth="1"/>
    <col min="13585" max="13585" width="11.44140625" style="1612" customWidth="1"/>
    <col min="13586" max="13586" width="13" style="1612" customWidth="1"/>
    <col min="13587" max="13587" width="11.5546875" style="1612" customWidth="1"/>
    <col min="13588" max="13588" width="9.6640625" style="1612" bestFit="1" customWidth="1"/>
    <col min="13589" max="13589" width="9.109375" style="1612"/>
    <col min="13590" max="13590" width="10.109375" style="1612" bestFit="1" customWidth="1"/>
    <col min="13591" max="13824" width="9.109375" style="1612"/>
    <col min="13825" max="13825" width="14.88671875" style="1612" customWidth="1"/>
    <col min="13826" max="13826" width="10.33203125" style="1612" bestFit="1" customWidth="1"/>
    <col min="13827" max="13827" width="11.33203125" style="1612" customWidth="1"/>
    <col min="13828" max="13828" width="16.88671875" style="1612" customWidth="1"/>
    <col min="13829" max="13829" width="20.88671875" style="1612" customWidth="1"/>
    <col min="13830" max="13830" width="74.44140625" style="1612" customWidth="1"/>
    <col min="13831" max="13831" width="26.109375" style="1612" customWidth="1"/>
    <col min="13832" max="13839" width="0" style="1612" hidden="1" customWidth="1"/>
    <col min="13840" max="13840" width="10.109375" style="1612" customWidth="1"/>
    <col min="13841" max="13841" width="11.44140625" style="1612" customWidth="1"/>
    <col min="13842" max="13842" width="13" style="1612" customWidth="1"/>
    <col min="13843" max="13843" width="11.5546875" style="1612" customWidth="1"/>
    <col min="13844" max="13844" width="9.6640625" style="1612" bestFit="1" customWidth="1"/>
    <col min="13845" max="13845" width="9.109375" style="1612"/>
    <col min="13846" max="13846" width="10.109375" style="1612" bestFit="1" customWidth="1"/>
    <col min="13847" max="14080" width="9.109375" style="1612"/>
    <col min="14081" max="14081" width="14.88671875" style="1612" customWidth="1"/>
    <col min="14082" max="14082" width="10.33203125" style="1612" bestFit="1" customWidth="1"/>
    <col min="14083" max="14083" width="11.33203125" style="1612" customWidth="1"/>
    <col min="14084" max="14084" width="16.88671875" style="1612" customWidth="1"/>
    <col min="14085" max="14085" width="20.88671875" style="1612" customWidth="1"/>
    <col min="14086" max="14086" width="74.44140625" style="1612" customWidth="1"/>
    <col min="14087" max="14087" width="26.109375" style="1612" customWidth="1"/>
    <col min="14088" max="14095" width="0" style="1612" hidden="1" customWidth="1"/>
    <col min="14096" max="14096" width="10.109375" style="1612" customWidth="1"/>
    <col min="14097" max="14097" width="11.44140625" style="1612" customWidth="1"/>
    <col min="14098" max="14098" width="13" style="1612" customWidth="1"/>
    <col min="14099" max="14099" width="11.5546875" style="1612" customWidth="1"/>
    <col min="14100" max="14100" width="9.6640625" style="1612" bestFit="1" customWidth="1"/>
    <col min="14101" max="14101" width="9.109375" style="1612"/>
    <col min="14102" max="14102" width="10.109375" style="1612" bestFit="1" customWidth="1"/>
    <col min="14103" max="14336" width="9.109375" style="1612"/>
    <col min="14337" max="14337" width="14.88671875" style="1612" customWidth="1"/>
    <col min="14338" max="14338" width="10.33203125" style="1612" bestFit="1" customWidth="1"/>
    <col min="14339" max="14339" width="11.33203125" style="1612" customWidth="1"/>
    <col min="14340" max="14340" width="16.88671875" style="1612" customWidth="1"/>
    <col min="14341" max="14341" width="20.88671875" style="1612" customWidth="1"/>
    <col min="14342" max="14342" width="74.44140625" style="1612" customWidth="1"/>
    <col min="14343" max="14343" width="26.109375" style="1612" customWidth="1"/>
    <col min="14344" max="14351" width="0" style="1612" hidden="1" customWidth="1"/>
    <col min="14352" max="14352" width="10.109375" style="1612" customWidth="1"/>
    <col min="14353" max="14353" width="11.44140625" style="1612" customWidth="1"/>
    <col min="14354" max="14354" width="13" style="1612" customWidth="1"/>
    <col min="14355" max="14355" width="11.5546875" style="1612" customWidth="1"/>
    <col min="14356" max="14356" width="9.6640625" style="1612" bestFit="1" customWidth="1"/>
    <col min="14357" max="14357" width="9.109375" style="1612"/>
    <col min="14358" max="14358" width="10.109375" style="1612" bestFit="1" customWidth="1"/>
    <col min="14359" max="14592" width="9.109375" style="1612"/>
    <col min="14593" max="14593" width="14.88671875" style="1612" customWidth="1"/>
    <col min="14594" max="14594" width="10.33203125" style="1612" bestFit="1" customWidth="1"/>
    <col min="14595" max="14595" width="11.33203125" style="1612" customWidth="1"/>
    <col min="14596" max="14596" width="16.88671875" style="1612" customWidth="1"/>
    <col min="14597" max="14597" width="20.88671875" style="1612" customWidth="1"/>
    <col min="14598" max="14598" width="74.44140625" style="1612" customWidth="1"/>
    <col min="14599" max="14599" width="26.109375" style="1612" customWidth="1"/>
    <col min="14600" max="14607" width="0" style="1612" hidden="1" customWidth="1"/>
    <col min="14608" max="14608" width="10.109375" style="1612" customWidth="1"/>
    <col min="14609" max="14609" width="11.44140625" style="1612" customWidth="1"/>
    <col min="14610" max="14610" width="13" style="1612" customWidth="1"/>
    <col min="14611" max="14611" width="11.5546875" style="1612" customWidth="1"/>
    <col min="14612" max="14612" width="9.6640625" style="1612" bestFit="1" customWidth="1"/>
    <col min="14613" max="14613" width="9.109375" style="1612"/>
    <col min="14614" max="14614" width="10.109375" style="1612" bestFit="1" customWidth="1"/>
    <col min="14615" max="14848" width="9.109375" style="1612"/>
    <col min="14849" max="14849" width="14.88671875" style="1612" customWidth="1"/>
    <col min="14850" max="14850" width="10.33203125" style="1612" bestFit="1" customWidth="1"/>
    <col min="14851" max="14851" width="11.33203125" style="1612" customWidth="1"/>
    <col min="14852" max="14852" width="16.88671875" style="1612" customWidth="1"/>
    <col min="14853" max="14853" width="20.88671875" style="1612" customWidth="1"/>
    <col min="14854" max="14854" width="74.44140625" style="1612" customWidth="1"/>
    <col min="14855" max="14855" width="26.109375" style="1612" customWidth="1"/>
    <col min="14856" max="14863" width="0" style="1612" hidden="1" customWidth="1"/>
    <col min="14864" max="14864" width="10.109375" style="1612" customWidth="1"/>
    <col min="14865" max="14865" width="11.44140625" style="1612" customWidth="1"/>
    <col min="14866" max="14866" width="13" style="1612" customWidth="1"/>
    <col min="14867" max="14867" width="11.5546875" style="1612" customWidth="1"/>
    <col min="14868" max="14868" width="9.6640625" style="1612" bestFit="1" customWidth="1"/>
    <col min="14869" max="14869" width="9.109375" style="1612"/>
    <col min="14870" max="14870" width="10.109375" style="1612" bestFit="1" customWidth="1"/>
    <col min="14871" max="15104" width="9.109375" style="1612"/>
    <col min="15105" max="15105" width="14.88671875" style="1612" customWidth="1"/>
    <col min="15106" max="15106" width="10.33203125" style="1612" bestFit="1" customWidth="1"/>
    <col min="15107" max="15107" width="11.33203125" style="1612" customWidth="1"/>
    <col min="15108" max="15108" width="16.88671875" style="1612" customWidth="1"/>
    <col min="15109" max="15109" width="20.88671875" style="1612" customWidth="1"/>
    <col min="15110" max="15110" width="74.44140625" style="1612" customWidth="1"/>
    <col min="15111" max="15111" width="26.109375" style="1612" customWidth="1"/>
    <col min="15112" max="15119" width="0" style="1612" hidden="1" customWidth="1"/>
    <col min="15120" max="15120" width="10.109375" style="1612" customWidth="1"/>
    <col min="15121" max="15121" width="11.44140625" style="1612" customWidth="1"/>
    <col min="15122" max="15122" width="13" style="1612" customWidth="1"/>
    <col min="15123" max="15123" width="11.5546875" style="1612" customWidth="1"/>
    <col min="15124" max="15124" width="9.6640625" style="1612" bestFit="1" customWidth="1"/>
    <col min="15125" max="15125" width="9.109375" style="1612"/>
    <col min="15126" max="15126" width="10.109375" style="1612" bestFit="1" customWidth="1"/>
    <col min="15127" max="15360" width="9.109375" style="1612"/>
    <col min="15361" max="15361" width="14.88671875" style="1612" customWidth="1"/>
    <col min="15362" max="15362" width="10.33203125" style="1612" bestFit="1" customWidth="1"/>
    <col min="15363" max="15363" width="11.33203125" style="1612" customWidth="1"/>
    <col min="15364" max="15364" width="16.88671875" style="1612" customWidth="1"/>
    <col min="15365" max="15365" width="20.88671875" style="1612" customWidth="1"/>
    <col min="15366" max="15366" width="74.44140625" style="1612" customWidth="1"/>
    <col min="15367" max="15367" width="26.109375" style="1612" customWidth="1"/>
    <col min="15368" max="15375" width="0" style="1612" hidden="1" customWidth="1"/>
    <col min="15376" max="15376" width="10.109375" style="1612" customWidth="1"/>
    <col min="15377" max="15377" width="11.44140625" style="1612" customWidth="1"/>
    <col min="15378" max="15378" width="13" style="1612" customWidth="1"/>
    <col min="15379" max="15379" width="11.5546875" style="1612" customWidth="1"/>
    <col min="15380" max="15380" width="9.6640625" style="1612" bestFit="1" customWidth="1"/>
    <col min="15381" max="15381" width="9.109375" style="1612"/>
    <col min="15382" max="15382" width="10.109375" style="1612" bestFit="1" customWidth="1"/>
    <col min="15383" max="15616" width="9.109375" style="1612"/>
    <col min="15617" max="15617" width="14.88671875" style="1612" customWidth="1"/>
    <col min="15618" max="15618" width="10.33203125" style="1612" bestFit="1" customWidth="1"/>
    <col min="15619" max="15619" width="11.33203125" style="1612" customWidth="1"/>
    <col min="15620" max="15620" width="16.88671875" style="1612" customWidth="1"/>
    <col min="15621" max="15621" width="20.88671875" style="1612" customWidth="1"/>
    <col min="15622" max="15622" width="74.44140625" style="1612" customWidth="1"/>
    <col min="15623" max="15623" width="26.109375" style="1612" customWidth="1"/>
    <col min="15624" max="15631" width="0" style="1612" hidden="1" customWidth="1"/>
    <col min="15632" max="15632" width="10.109375" style="1612" customWidth="1"/>
    <col min="15633" max="15633" width="11.44140625" style="1612" customWidth="1"/>
    <col min="15634" max="15634" width="13" style="1612" customWidth="1"/>
    <col min="15635" max="15635" width="11.5546875" style="1612" customWidth="1"/>
    <col min="15636" max="15636" width="9.6640625" style="1612" bestFit="1" customWidth="1"/>
    <col min="15637" max="15637" width="9.109375" style="1612"/>
    <col min="15638" max="15638" width="10.109375" style="1612" bestFit="1" customWidth="1"/>
    <col min="15639" max="15872" width="9.109375" style="1612"/>
    <col min="15873" max="15873" width="14.88671875" style="1612" customWidth="1"/>
    <col min="15874" max="15874" width="10.33203125" style="1612" bestFit="1" customWidth="1"/>
    <col min="15875" max="15875" width="11.33203125" style="1612" customWidth="1"/>
    <col min="15876" max="15876" width="16.88671875" style="1612" customWidth="1"/>
    <col min="15877" max="15877" width="20.88671875" style="1612" customWidth="1"/>
    <col min="15878" max="15878" width="74.44140625" style="1612" customWidth="1"/>
    <col min="15879" max="15879" width="26.109375" style="1612" customWidth="1"/>
    <col min="15880" max="15887" width="0" style="1612" hidden="1" customWidth="1"/>
    <col min="15888" max="15888" width="10.109375" style="1612" customWidth="1"/>
    <col min="15889" max="15889" width="11.44140625" style="1612" customWidth="1"/>
    <col min="15890" max="15890" width="13" style="1612" customWidth="1"/>
    <col min="15891" max="15891" width="11.5546875" style="1612" customWidth="1"/>
    <col min="15892" max="15892" width="9.6640625" style="1612" bestFit="1" customWidth="1"/>
    <col min="15893" max="15893" width="9.109375" style="1612"/>
    <col min="15894" max="15894" width="10.109375" style="1612" bestFit="1" customWidth="1"/>
    <col min="15895" max="16128" width="9.109375" style="1612"/>
    <col min="16129" max="16129" width="14.88671875" style="1612" customWidth="1"/>
    <col min="16130" max="16130" width="10.33203125" style="1612" bestFit="1" customWidth="1"/>
    <col min="16131" max="16131" width="11.33203125" style="1612" customWidth="1"/>
    <col min="16132" max="16132" width="16.88671875" style="1612" customWidth="1"/>
    <col min="16133" max="16133" width="20.88671875" style="1612" customWidth="1"/>
    <col min="16134" max="16134" width="74.44140625" style="1612" customWidth="1"/>
    <col min="16135" max="16135" width="26.109375" style="1612" customWidth="1"/>
    <col min="16136" max="16143" width="0" style="1612" hidden="1" customWidth="1"/>
    <col min="16144" max="16144" width="10.109375" style="1612" customWidth="1"/>
    <col min="16145" max="16145" width="11.44140625" style="1612" customWidth="1"/>
    <col min="16146" max="16146" width="13" style="1612" customWidth="1"/>
    <col min="16147" max="16147" width="11.5546875" style="1612" customWidth="1"/>
    <col min="16148" max="16148" width="9.6640625" style="1612" bestFit="1" customWidth="1"/>
    <col min="16149" max="16149" width="9.109375" style="1612"/>
    <col min="16150" max="16150" width="10.109375" style="1612" bestFit="1" customWidth="1"/>
    <col min="16151" max="16384" width="9.109375" style="1612"/>
  </cols>
  <sheetData>
    <row r="1" spans="1:20" ht="21" customHeight="1">
      <c r="A1" s="1608" t="s">
        <v>1300</v>
      </c>
      <c r="B1" s="1609"/>
      <c r="C1" s="1609"/>
      <c r="D1" s="1609"/>
      <c r="E1" s="1609"/>
      <c r="F1" s="1609"/>
      <c r="G1" s="1609"/>
      <c r="I1" s="1611"/>
      <c r="S1" s="1613"/>
    </row>
    <row r="2" spans="1:20" ht="21" customHeight="1">
      <c r="A2" s="1608" t="s">
        <v>1326</v>
      </c>
      <c r="B2" s="1609"/>
      <c r="C2" s="1609"/>
      <c r="D2" s="1609"/>
      <c r="E2" s="1609"/>
      <c r="F2" s="1609"/>
      <c r="G2" s="1609"/>
      <c r="H2" s="1614" t="s">
        <v>1301</v>
      </c>
      <c r="I2" s="1615" t="s">
        <v>1302</v>
      </c>
      <c r="R2" s="1821"/>
      <c r="S2" s="1613"/>
    </row>
    <row r="3" spans="1:20" ht="21" customHeight="1">
      <c r="A3" s="1608" t="s">
        <v>1329</v>
      </c>
      <c r="B3" s="1609"/>
      <c r="C3" s="1609"/>
      <c r="D3" s="1609"/>
      <c r="E3" s="1609"/>
      <c r="F3" s="1609"/>
      <c r="G3" s="1609"/>
      <c r="H3" s="1616">
        <f>SUM(G12:G14)+G21</f>
        <v>17052.589999999997</v>
      </c>
      <c r="I3" s="1617">
        <f>SUM(G17:G20)+G22</f>
        <v>7877.17</v>
      </c>
    </row>
    <row r="4" spans="1:20" ht="13.5" customHeight="1">
      <c r="A4" s="1610" t="s">
        <v>1357</v>
      </c>
      <c r="H4" s="1619" t="s">
        <v>1303</v>
      </c>
      <c r="I4" s="1620">
        <f>G7</f>
        <v>11020.37</v>
      </c>
      <c r="Q4" s="1822" t="s">
        <v>1358</v>
      </c>
      <c r="R4" s="1822" t="s">
        <v>800</v>
      </c>
    </row>
    <row r="5" spans="1:20" ht="32.25" customHeight="1">
      <c r="A5" s="1621" t="s">
        <v>835</v>
      </c>
      <c r="B5" s="1914" t="s">
        <v>292</v>
      </c>
      <c r="C5" s="1915"/>
      <c r="D5" s="1915"/>
      <c r="E5" s="1915"/>
      <c r="F5" s="1915"/>
      <c r="G5" s="1622" t="s">
        <v>1304</v>
      </c>
      <c r="H5" s="1623" t="s">
        <v>1305</v>
      </c>
      <c r="I5" s="1624" t="e">
        <f>I4-#REF!</f>
        <v>#REF!</v>
      </c>
    </row>
    <row r="6" spans="1:20" ht="16.5" customHeight="1">
      <c r="A6" s="1621"/>
      <c r="B6" s="1809" t="s">
        <v>1338</v>
      </c>
      <c r="C6" s="1810"/>
      <c r="D6" s="1810"/>
      <c r="E6" s="1810"/>
      <c r="F6" s="1810"/>
      <c r="G6" s="1622"/>
      <c r="H6" s="1623"/>
      <c r="I6" s="1624"/>
    </row>
    <row r="7" spans="1:20" ht="25.5" customHeight="1">
      <c r="A7" s="1625" t="s">
        <v>21</v>
      </c>
      <c r="B7" s="1626" t="s">
        <v>1336</v>
      </c>
      <c r="C7" s="1627"/>
      <c r="D7" s="1627"/>
      <c r="E7" s="1627"/>
      <c r="F7" s="1627"/>
      <c r="G7" s="1804">
        <v>11020.37</v>
      </c>
      <c r="H7" s="1610">
        <v>2302.9</v>
      </c>
    </row>
    <row r="8" spans="1:20" ht="25.5" customHeight="1">
      <c r="A8" s="1628" t="s">
        <v>227</v>
      </c>
      <c r="B8" s="1626" t="s">
        <v>1335</v>
      </c>
      <c r="C8" s="1627"/>
      <c r="D8" s="1627"/>
      <c r="E8" s="1627"/>
      <c r="F8" s="1627"/>
      <c r="G8" s="1804">
        <v>8165.45</v>
      </c>
      <c r="H8" s="1610">
        <v>14184.805</v>
      </c>
    </row>
    <row r="9" spans="1:20" s="1618" customFormat="1" ht="25.5" customHeight="1">
      <c r="A9" s="1805" t="s">
        <v>228</v>
      </c>
      <c r="B9" s="1806" t="s">
        <v>1337</v>
      </c>
      <c r="C9" s="1807"/>
      <c r="D9" s="1807"/>
      <c r="E9" s="1807"/>
      <c r="F9" s="1807"/>
      <c r="G9" s="1808">
        <f>G7-G8</f>
        <v>2854.920000000001</v>
      </c>
      <c r="H9" s="1610">
        <v>14184.805</v>
      </c>
      <c r="Q9" s="1823"/>
      <c r="R9" s="1823"/>
    </row>
    <row r="10" spans="1:20" ht="18" customHeight="1">
      <c r="A10" s="1621"/>
      <c r="B10" s="1809" t="s">
        <v>1339</v>
      </c>
      <c r="C10" s="1810"/>
      <c r="D10" s="1810"/>
      <c r="E10" s="1810"/>
      <c r="F10" s="1810"/>
      <c r="G10" s="1622"/>
      <c r="H10" s="1623"/>
      <c r="I10" s="1624"/>
    </row>
    <row r="11" spans="1:20" ht="24.75" customHeight="1">
      <c r="A11" s="1805" t="s">
        <v>22</v>
      </c>
      <c r="B11" s="1811" t="s">
        <v>1344</v>
      </c>
      <c r="C11" s="1795"/>
      <c r="D11" s="1795"/>
      <c r="E11" s="1795"/>
      <c r="F11" s="1795"/>
      <c r="G11" s="1817">
        <f>SUM(G12:G14)</f>
        <v>16584.199999999997</v>
      </c>
      <c r="H11" s="1623"/>
      <c r="I11" s="1624"/>
      <c r="R11" s="1822" t="s">
        <v>1359</v>
      </c>
    </row>
    <row r="12" spans="1:20" ht="25.5" customHeight="1">
      <c r="A12" s="1625" t="s">
        <v>9</v>
      </c>
      <c r="B12" s="1812" t="s">
        <v>1328</v>
      </c>
      <c r="C12" s="1627"/>
      <c r="D12" s="1627"/>
      <c r="E12" s="1627"/>
      <c r="F12" s="1627"/>
      <c r="G12" s="1804">
        <v>13863.13</v>
      </c>
      <c r="H12" s="1813">
        <v>14184.805</v>
      </c>
      <c r="Q12" s="1821">
        <f>(1562692.98-489.19+1507438.53+1559332.1+1208328.25+932620.28+1067700.51+1022153.17+1073693.19+1078203.49+1257924.25+1688542.05+2360932.59)/1.18/1000</f>
        <v>13829.722203389832</v>
      </c>
      <c r="R12" s="1820">
        <f>(1562.96245+1507.73652+1559.56674+1208.5514+933.07772+1081.09326+1026.75988+1074.48587+1079.58811+1277.40177+1691.04973)</f>
        <v>14002.273450000002</v>
      </c>
    </row>
    <row r="13" spans="1:20" ht="23.1" customHeight="1">
      <c r="A13" s="1796" t="s">
        <v>10</v>
      </c>
      <c r="B13" s="1626" t="s">
        <v>1341</v>
      </c>
      <c r="C13" s="1629"/>
      <c r="D13" s="1629"/>
      <c r="E13" s="1629"/>
      <c r="F13" s="1629"/>
      <c r="G13" s="1641">
        <v>799.55</v>
      </c>
      <c r="H13" s="1610">
        <v>606.12</v>
      </c>
      <c r="Q13" s="1824">
        <f>(145756.41+126872.99+139815.9+114721.95+52305.62+63205.15+67877.2+64578.67+61157.47+46958.91+41523.89)/1.18/1000</f>
        <v>783.7069152542374</v>
      </c>
      <c r="S13" s="1613">
        <f>G13-Q13</f>
        <v>15.843084745762553</v>
      </c>
      <c r="T13" s="1821">
        <f>(145756.41+126872.99+139815.9+114721.95+52305.62+63205.15+67877.2+64578.67+61157.47+46958.91+41523.89)</f>
        <v>924774.16</v>
      </c>
    </row>
    <row r="14" spans="1:20" ht="23.1" customHeight="1">
      <c r="A14" s="1796" t="s">
        <v>11</v>
      </c>
      <c r="B14" s="1626" t="s">
        <v>1342</v>
      </c>
      <c r="C14" s="1629"/>
      <c r="D14" s="1629"/>
      <c r="E14" s="1629"/>
      <c r="F14" s="1629"/>
      <c r="G14" s="1641">
        <v>1921.52</v>
      </c>
      <c r="H14" s="1630">
        <v>8.85</v>
      </c>
      <c r="Q14" s="1821">
        <f>(330757+358286.49+225297.83+270986.84+240988.94+311394.18+245198.13)/1.18/1000</f>
        <v>1680.4317033898303</v>
      </c>
      <c r="R14" s="1821"/>
    </row>
    <row r="15" spans="1:20" ht="21.75" customHeight="1">
      <c r="A15" s="1805" t="s">
        <v>23</v>
      </c>
      <c r="B15" s="1811" t="s">
        <v>1340</v>
      </c>
      <c r="C15" s="1795"/>
      <c r="D15" s="1795"/>
      <c r="E15" s="1795"/>
      <c r="F15" s="1795"/>
      <c r="G15" s="1817">
        <f>SUM(G16:G22)</f>
        <v>16040.47</v>
      </c>
      <c r="H15" s="1623"/>
      <c r="I15" s="1624"/>
    </row>
    <row r="16" spans="1:20" ht="23.1" customHeight="1">
      <c r="A16" s="1628" t="s">
        <v>235</v>
      </c>
      <c r="B16" s="1637" t="s">
        <v>1343</v>
      </c>
      <c r="C16" s="1629"/>
      <c r="D16" s="1629"/>
      <c r="E16" s="1629"/>
      <c r="F16" s="1629"/>
      <c r="G16" s="1641">
        <v>7694.91</v>
      </c>
      <c r="H16" s="1630">
        <v>3495.9821700000002</v>
      </c>
      <c r="I16" s="1632"/>
      <c r="J16" s="1635">
        <v>1495.2</v>
      </c>
      <c r="K16" s="1636" t="s">
        <v>1137</v>
      </c>
      <c r="Q16" s="1821">
        <v>7639.4</v>
      </c>
      <c r="R16" s="1824">
        <f>(8916.47073-1)/1.18</f>
        <v>7555.4836694915248</v>
      </c>
      <c r="S16" s="1613">
        <f>G16-Q16</f>
        <v>55.510000000000218</v>
      </c>
    </row>
    <row r="17" spans="1:19" ht="23.1" customHeight="1">
      <c r="A17" s="1628" t="s">
        <v>42</v>
      </c>
      <c r="B17" s="1626" t="s">
        <v>1330</v>
      </c>
      <c r="C17" s="1629"/>
      <c r="D17" s="1629"/>
      <c r="E17" s="1629"/>
      <c r="F17" s="1629"/>
      <c r="G17" s="1641">
        <v>36.840000000000003</v>
      </c>
      <c r="H17" s="1630">
        <v>4.54</v>
      </c>
      <c r="Q17" s="1821">
        <f>(1972.57+2019.48+1612.24+1326.35+1501.68+1441.28+1974.96+4106.12+1942.88+3121.06+6007.26+16168.85)/1000/1.18</f>
        <v>36.605703389830509</v>
      </c>
    </row>
    <row r="18" spans="1:19" ht="23.1" customHeight="1">
      <c r="A18" s="1628" t="s">
        <v>43</v>
      </c>
      <c r="B18" s="1626" t="s">
        <v>1331</v>
      </c>
      <c r="C18" s="1629"/>
      <c r="D18" s="1629"/>
      <c r="E18" s="1629"/>
      <c r="F18" s="1629"/>
      <c r="G18" s="1641">
        <v>2929.38</v>
      </c>
      <c r="H18" s="1630">
        <v>17141.939999999999</v>
      </c>
      <c r="Q18" s="1824">
        <f>(3045.93693+190.46282+410.72779)/1.18</f>
        <v>3090.7860508474578</v>
      </c>
    </row>
    <row r="19" spans="1:19" ht="23.1" customHeight="1">
      <c r="A19" s="1628" t="s">
        <v>1345</v>
      </c>
      <c r="B19" s="1626" t="s">
        <v>1332</v>
      </c>
      <c r="C19" s="1629"/>
      <c r="D19" s="1629"/>
      <c r="E19" s="1629"/>
      <c r="F19" s="1629"/>
      <c r="G19" s="1641">
        <v>891.68</v>
      </c>
      <c r="H19" s="1630">
        <v>552.17057999999997</v>
      </c>
      <c r="I19" s="1630" t="s">
        <v>1306</v>
      </c>
    </row>
    <row r="20" spans="1:19" ht="23.1" customHeight="1">
      <c r="A20" s="1628" t="s">
        <v>1346</v>
      </c>
      <c r="B20" s="1626" t="s">
        <v>1333</v>
      </c>
      <c r="C20" s="1629"/>
      <c r="D20" s="1629"/>
      <c r="E20" s="1629"/>
      <c r="F20" s="1629"/>
      <c r="G20" s="1641">
        <v>930.96</v>
      </c>
      <c r="H20" s="1631" t="s">
        <v>1307</v>
      </c>
      <c r="I20" s="1632"/>
      <c r="J20" s="1633" t="s">
        <v>1308</v>
      </c>
      <c r="K20" s="1634"/>
      <c r="P20" s="1613">
        <f>SUM(G19:G20)</f>
        <v>1822.6399999999999</v>
      </c>
      <c r="Q20" s="1824">
        <f>(240.24978+274.24988+277.22959+955.44908)</f>
        <v>1747.1783299999997</v>
      </c>
    </row>
    <row r="21" spans="1:19" ht="23.1" customHeight="1">
      <c r="A21" s="1628" t="s">
        <v>1347</v>
      </c>
      <c r="B21" s="1626" t="s">
        <v>1334</v>
      </c>
      <c r="C21" s="1629"/>
      <c r="D21" s="1629"/>
      <c r="E21" s="1629"/>
      <c r="F21" s="1629"/>
      <c r="G21" s="1641">
        <v>468.39</v>
      </c>
      <c r="H21" s="1631" t="s">
        <v>1307</v>
      </c>
      <c r="I21" s="1612">
        <v>261.35000000000002</v>
      </c>
      <c r="Q21" s="1821">
        <f>(26368+32936.4+29698.68+30280.92+5332.99+31002.99+14489.38+8487.83+6880.86+20738.46+10233.3+21068.3+11410.64+28107.07+36877.05+11878.02+51119.76+62914.17)/1.18/1000</f>
        <v>372.73289830508475</v>
      </c>
      <c r="R21" s="1821">
        <f>26368+32936.4+29698.68+30280.92+5333.99+31002.99+14489.38+8487.83+6880.86+20738.46+10233.3+21068.3+11410.64+28107.07+36877.05+11878.02+51119.76+62914.17+18630.12+17031.36+16359.3</f>
        <v>491846.59999999992</v>
      </c>
    </row>
    <row r="22" spans="1:19" ht="23.1" customHeight="1">
      <c r="A22" s="1796" t="s">
        <v>1348</v>
      </c>
      <c r="B22" s="1637" t="s">
        <v>1327</v>
      </c>
      <c r="C22" s="1629"/>
      <c r="D22" s="1629"/>
      <c r="E22" s="1629"/>
      <c r="F22" s="1629"/>
      <c r="G22" s="1641">
        <v>3088.31</v>
      </c>
      <c r="H22" s="1630">
        <v>3495.9821700000002</v>
      </c>
      <c r="I22" s="1632"/>
      <c r="J22" s="1635">
        <v>1495.2</v>
      </c>
      <c r="K22" s="1636" t="s">
        <v>1137</v>
      </c>
    </row>
    <row r="23" spans="1:19" ht="22.5" customHeight="1">
      <c r="A23" s="1814"/>
      <c r="B23" s="1819" t="s">
        <v>1350</v>
      </c>
      <c r="C23" s="1629"/>
      <c r="D23" s="1629"/>
      <c r="E23" s="1629"/>
      <c r="F23" s="1629"/>
      <c r="G23" s="1815"/>
      <c r="H23" s="1638"/>
    </row>
    <row r="24" spans="1:19" ht="19.5" customHeight="1">
      <c r="A24" s="1818" t="s">
        <v>24</v>
      </c>
      <c r="B24" s="1639" t="s">
        <v>1352</v>
      </c>
      <c r="C24" s="1640"/>
      <c r="D24" s="1640"/>
      <c r="E24" s="1640"/>
      <c r="F24" s="1640"/>
      <c r="G24" s="1816">
        <f>G11-G15</f>
        <v>543.72999999999774</v>
      </c>
      <c r="H24" s="1641">
        <f>SUM(H12:H14)-H17-H18-H19-H22</f>
        <v>-6394.8577499999983</v>
      </c>
      <c r="I24" s="1642">
        <v>-766.09999999999764</v>
      </c>
    </row>
    <row r="25" spans="1:19" ht="19.5" customHeight="1">
      <c r="A25" s="1916" t="s">
        <v>25</v>
      </c>
      <c r="B25" s="1819" t="s">
        <v>1349</v>
      </c>
      <c r="C25" s="1629"/>
      <c r="D25" s="1629"/>
      <c r="E25" s="1629"/>
      <c r="F25" s="1629"/>
      <c r="G25" s="1815"/>
      <c r="I25" s="1642"/>
    </row>
    <row r="26" spans="1:19" ht="19.5" customHeight="1">
      <c r="A26" s="1917"/>
      <c r="B26" s="1639" t="s">
        <v>1353</v>
      </c>
      <c r="C26" s="1640"/>
      <c r="D26" s="1640"/>
      <c r="E26" s="1643"/>
      <c r="F26" s="1643"/>
      <c r="G26" s="1816">
        <f>G9-G24</f>
        <v>2311.1900000000032</v>
      </c>
      <c r="H26" s="1630">
        <f>H7-H24</f>
        <v>8697.7577499999989</v>
      </c>
      <c r="I26" s="1642">
        <v>-766.09999999999764</v>
      </c>
      <c r="R26" s="1822"/>
    </row>
    <row r="27" spans="1:19">
      <c r="S27" s="1644"/>
    </row>
    <row r="28" spans="1:19">
      <c r="S28" s="1644"/>
    </row>
    <row r="29" spans="1:19">
      <c r="A29" s="1644" t="s">
        <v>1351</v>
      </c>
      <c r="Q29" s="1820">
        <f>15461.52+761.06+3128.2-2374.47</f>
        <v>16976.309999999998</v>
      </c>
    </row>
    <row r="30" spans="1:19">
      <c r="A30" s="1644" t="s">
        <v>1356</v>
      </c>
      <c r="Q30" s="1821" t="e">
        <f>#REF!</f>
        <v>#REF!</v>
      </c>
    </row>
    <row r="31" spans="1:19">
      <c r="A31" s="1644"/>
      <c r="Q31" s="1821" t="e">
        <f>Q30-Q29</f>
        <v>#REF!</v>
      </c>
    </row>
    <row r="32" spans="1:19">
      <c r="A32" s="1644"/>
      <c r="G32" s="1613"/>
    </row>
    <row r="33" spans="1:18">
      <c r="H33" s="1645">
        <f>2265.5-G7</f>
        <v>-8754.8700000000008</v>
      </c>
    </row>
    <row r="34" spans="1:18">
      <c r="H34" s="1618"/>
    </row>
    <row r="35" spans="1:18">
      <c r="H35" s="1618"/>
    </row>
    <row r="36" spans="1:18">
      <c r="H36" s="1618"/>
    </row>
    <row r="37" spans="1:18">
      <c r="H37" s="1618"/>
    </row>
    <row r="38" spans="1:18">
      <c r="H38" s="1618"/>
    </row>
    <row r="39" spans="1:18">
      <c r="H39" s="1618"/>
    </row>
    <row r="40" spans="1:18">
      <c r="H40" s="1618"/>
    </row>
    <row r="43" spans="1:18" s="1651" customFormat="1" ht="23.25" customHeight="1">
      <c r="A43" s="1646" t="s">
        <v>632</v>
      </c>
      <c r="B43" s="1647"/>
      <c r="C43" s="1648"/>
      <c r="D43" s="1649"/>
      <c r="E43" s="1649"/>
      <c r="F43" s="1649"/>
      <c r="G43" s="1649"/>
      <c r="H43" s="1650"/>
      <c r="L43" s="1652">
        <f>I36-9777.22</f>
        <v>-9777.2199999999993</v>
      </c>
      <c r="N43" s="1531"/>
      <c r="Q43" s="1825"/>
      <c r="R43" s="1825"/>
    </row>
    <row r="44" spans="1:18" s="1651" customFormat="1" ht="15" customHeight="1">
      <c r="A44" s="1646" t="s">
        <v>662</v>
      </c>
      <c r="C44" s="1648"/>
      <c r="D44" s="1649"/>
      <c r="E44" s="1653"/>
      <c r="F44" s="1654" t="s">
        <v>634</v>
      </c>
      <c r="N44" s="1531"/>
      <c r="O44" s="1531"/>
      <c r="P44" s="1531"/>
      <c r="Q44" s="1826"/>
      <c r="R44" s="1825"/>
    </row>
    <row r="46" spans="1:18" s="1655" customFormat="1" ht="15.6">
      <c r="B46" s="1656"/>
      <c r="C46" s="1657"/>
      <c r="H46" s="1658"/>
      <c r="K46" s="1618"/>
      <c r="Q46" s="1827"/>
      <c r="R46" s="1827"/>
    </row>
  </sheetData>
  <mergeCells count="2">
    <mergeCell ref="B5:F5"/>
    <mergeCell ref="A25:A26"/>
  </mergeCells>
  <printOptions horizontalCentered="1"/>
  <pageMargins left="0.19685039370078741" right="0.19685039370078741" top="0.59055118110236227" bottom="0.11811023622047245" header="0.31496062992125984" footer="3.937007874015748E-2"/>
  <pageSetup paperSize="9" scale="77" orientation="landscape" r:id="rId1"/>
  <headerFooter>
    <oddFooter>&amp;L&amp;8___________________________________________________________________
&amp;F&amp;A</oddFooter>
  </headerFooter>
  <colBreaks count="1" manualBreakCount="1">
    <brk id="7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CCFF66"/>
  </sheetPr>
  <dimension ref="A1:M56"/>
  <sheetViews>
    <sheetView zoomScaleNormal="100" workbookViewId="0">
      <pane xSplit="1" ySplit="12" topLeftCell="B34" activePane="bottomRight" state="frozenSplit"/>
      <selection activeCell="E6" sqref="A1:XFD1048576"/>
      <selection pane="topRight" activeCell="E6" sqref="A1:XFD1048576"/>
      <selection pane="bottomLeft" activeCell="E6" sqref="A1:XFD1048576"/>
      <selection pane="bottomRight" activeCell="E6" sqref="A1:XFD1048576"/>
    </sheetView>
  </sheetViews>
  <sheetFormatPr defaultRowHeight="13.2"/>
  <cols>
    <col min="1" max="1" width="10.88671875" style="4" customWidth="1"/>
    <col min="2" max="2" width="12" style="4" customWidth="1"/>
    <col min="3" max="3" width="11.5546875" style="4" customWidth="1"/>
    <col min="4" max="4" width="11.44140625" style="4" customWidth="1"/>
    <col min="5" max="5" width="10.5546875" style="4" customWidth="1"/>
    <col min="6" max="6" width="14.88671875" style="2" customWidth="1"/>
    <col min="7" max="7" width="16.109375" style="4" customWidth="1"/>
    <col min="8" max="8" width="9.109375" style="4"/>
    <col min="9" max="11" width="9.109375" style="4" customWidth="1"/>
    <col min="12" max="12" width="11.6640625" style="4" customWidth="1"/>
    <col min="13" max="14" width="9.109375" style="4" customWidth="1"/>
    <col min="15" max="256" width="9.109375" style="4"/>
    <col min="257" max="257" width="10.88671875" style="4" customWidth="1"/>
    <col min="258" max="258" width="12" style="4" customWidth="1"/>
    <col min="259" max="259" width="11.5546875" style="4" customWidth="1"/>
    <col min="260" max="260" width="11.44140625" style="4" customWidth="1"/>
    <col min="261" max="261" width="10.5546875" style="4" customWidth="1"/>
    <col min="262" max="262" width="14.88671875" style="4" customWidth="1"/>
    <col min="263" max="263" width="16.109375" style="4" customWidth="1"/>
    <col min="264" max="512" width="9.109375" style="4"/>
    <col min="513" max="513" width="10.88671875" style="4" customWidth="1"/>
    <col min="514" max="514" width="12" style="4" customWidth="1"/>
    <col min="515" max="515" width="11.5546875" style="4" customWidth="1"/>
    <col min="516" max="516" width="11.44140625" style="4" customWidth="1"/>
    <col min="517" max="517" width="10.5546875" style="4" customWidth="1"/>
    <col min="518" max="518" width="14.88671875" style="4" customWidth="1"/>
    <col min="519" max="519" width="16.109375" style="4" customWidth="1"/>
    <col min="520" max="768" width="9.109375" style="4"/>
    <col min="769" max="769" width="10.88671875" style="4" customWidth="1"/>
    <col min="770" max="770" width="12" style="4" customWidth="1"/>
    <col min="771" max="771" width="11.5546875" style="4" customWidth="1"/>
    <col min="772" max="772" width="11.44140625" style="4" customWidth="1"/>
    <col min="773" max="773" width="10.5546875" style="4" customWidth="1"/>
    <col min="774" max="774" width="14.88671875" style="4" customWidth="1"/>
    <col min="775" max="775" width="16.109375" style="4" customWidth="1"/>
    <col min="776" max="1024" width="9.109375" style="4"/>
    <col min="1025" max="1025" width="10.88671875" style="4" customWidth="1"/>
    <col min="1026" max="1026" width="12" style="4" customWidth="1"/>
    <col min="1027" max="1027" width="11.5546875" style="4" customWidth="1"/>
    <col min="1028" max="1028" width="11.44140625" style="4" customWidth="1"/>
    <col min="1029" max="1029" width="10.5546875" style="4" customWidth="1"/>
    <col min="1030" max="1030" width="14.88671875" style="4" customWidth="1"/>
    <col min="1031" max="1031" width="16.109375" style="4" customWidth="1"/>
    <col min="1032" max="1280" width="9.109375" style="4"/>
    <col min="1281" max="1281" width="10.88671875" style="4" customWidth="1"/>
    <col min="1282" max="1282" width="12" style="4" customWidth="1"/>
    <col min="1283" max="1283" width="11.5546875" style="4" customWidth="1"/>
    <col min="1284" max="1284" width="11.44140625" style="4" customWidth="1"/>
    <col min="1285" max="1285" width="10.5546875" style="4" customWidth="1"/>
    <col min="1286" max="1286" width="14.88671875" style="4" customWidth="1"/>
    <col min="1287" max="1287" width="16.109375" style="4" customWidth="1"/>
    <col min="1288" max="1536" width="9.109375" style="4"/>
    <col min="1537" max="1537" width="10.88671875" style="4" customWidth="1"/>
    <col min="1538" max="1538" width="12" style="4" customWidth="1"/>
    <col min="1539" max="1539" width="11.5546875" style="4" customWidth="1"/>
    <col min="1540" max="1540" width="11.44140625" style="4" customWidth="1"/>
    <col min="1541" max="1541" width="10.5546875" style="4" customWidth="1"/>
    <col min="1542" max="1542" width="14.88671875" style="4" customWidth="1"/>
    <col min="1543" max="1543" width="16.109375" style="4" customWidth="1"/>
    <col min="1544" max="1792" width="9.109375" style="4"/>
    <col min="1793" max="1793" width="10.88671875" style="4" customWidth="1"/>
    <col min="1794" max="1794" width="12" style="4" customWidth="1"/>
    <col min="1795" max="1795" width="11.5546875" style="4" customWidth="1"/>
    <col min="1796" max="1796" width="11.44140625" style="4" customWidth="1"/>
    <col min="1797" max="1797" width="10.5546875" style="4" customWidth="1"/>
    <col min="1798" max="1798" width="14.88671875" style="4" customWidth="1"/>
    <col min="1799" max="1799" width="16.109375" style="4" customWidth="1"/>
    <col min="1800" max="2048" width="9.109375" style="4"/>
    <col min="2049" max="2049" width="10.88671875" style="4" customWidth="1"/>
    <col min="2050" max="2050" width="12" style="4" customWidth="1"/>
    <col min="2051" max="2051" width="11.5546875" style="4" customWidth="1"/>
    <col min="2052" max="2052" width="11.44140625" style="4" customWidth="1"/>
    <col min="2053" max="2053" width="10.5546875" style="4" customWidth="1"/>
    <col min="2054" max="2054" width="14.88671875" style="4" customWidth="1"/>
    <col min="2055" max="2055" width="16.109375" style="4" customWidth="1"/>
    <col min="2056" max="2304" width="9.109375" style="4"/>
    <col min="2305" max="2305" width="10.88671875" style="4" customWidth="1"/>
    <col min="2306" max="2306" width="12" style="4" customWidth="1"/>
    <col min="2307" max="2307" width="11.5546875" style="4" customWidth="1"/>
    <col min="2308" max="2308" width="11.44140625" style="4" customWidth="1"/>
    <col min="2309" max="2309" width="10.5546875" style="4" customWidth="1"/>
    <col min="2310" max="2310" width="14.88671875" style="4" customWidth="1"/>
    <col min="2311" max="2311" width="16.109375" style="4" customWidth="1"/>
    <col min="2312" max="2560" width="9.109375" style="4"/>
    <col min="2561" max="2561" width="10.88671875" style="4" customWidth="1"/>
    <col min="2562" max="2562" width="12" style="4" customWidth="1"/>
    <col min="2563" max="2563" width="11.5546875" style="4" customWidth="1"/>
    <col min="2564" max="2564" width="11.44140625" style="4" customWidth="1"/>
    <col min="2565" max="2565" width="10.5546875" style="4" customWidth="1"/>
    <col min="2566" max="2566" width="14.88671875" style="4" customWidth="1"/>
    <col min="2567" max="2567" width="16.109375" style="4" customWidth="1"/>
    <col min="2568" max="2816" width="9.109375" style="4"/>
    <col min="2817" max="2817" width="10.88671875" style="4" customWidth="1"/>
    <col min="2818" max="2818" width="12" style="4" customWidth="1"/>
    <col min="2819" max="2819" width="11.5546875" style="4" customWidth="1"/>
    <col min="2820" max="2820" width="11.44140625" style="4" customWidth="1"/>
    <col min="2821" max="2821" width="10.5546875" style="4" customWidth="1"/>
    <col min="2822" max="2822" width="14.88671875" style="4" customWidth="1"/>
    <col min="2823" max="2823" width="16.109375" style="4" customWidth="1"/>
    <col min="2824" max="3072" width="9.109375" style="4"/>
    <col min="3073" max="3073" width="10.88671875" style="4" customWidth="1"/>
    <col min="3074" max="3074" width="12" style="4" customWidth="1"/>
    <col min="3075" max="3075" width="11.5546875" style="4" customWidth="1"/>
    <col min="3076" max="3076" width="11.44140625" style="4" customWidth="1"/>
    <col min="3077" max="3077" width="10.5546875" style="4" customWidth="1"/>
    <col min="3078" max="3078" width="14.88671875" style="4" customWidth="1"/>
    <col min="3079" max="3079" width="16.109375" style="4" customWidth="1"/>
    <col min="3080" max="3328" width="9.109375" style="4"/>
    <col min="3329" max="3329" width="10.88671875" style="4" customWidth="1"/>
    <col min="3330" max="3330" width="12" style="4" customWidth="1"/>
    <col min="3331" max="3331" width="11.5546875" style="4" customWidth="1"/>
    <col min="3332" max="3332" width="11.44140625" style="4" customWidth="1"/>
    <col min="3333" max="3333" width="10.5546875" style="4" customWidth="1"/>
    <col min="3334" max="3334" width="14.88671875" style="4" customWidth="1"/>
    <col min="3335" max="3335" width="16.109375" style="4" customWidth="1"/>
    <col min="3336" max="3584" width="9.109375" style="4"/>
    <col min="3585" max="3585" width="10.88671875" style="4" customWidth="1"/>
    <col min="3586" max="3586" width="12" style="4" customWidth="1"/>
    <col min="3587" max="3587" width="11.5546875" style="4" customWidth="1"/>
    <col min="3588" max="3588" width="11.44140625" style="4" customWidth="1"/>
    <col min="3589" max="3589" width="10.5546875" style="4" customWidth="1"/>
    <col min="3590" max="3590" width="14.88671875" style="4" customWidth="1"/>
    <col min="3591" max="3591" width="16.109375" style="4" customWidth="1"/>
    <col min="3592" max="3840" width="9.109375" style="4"/>
    <col min="3841" max="3841" width="10.88671875" style="4" customWidth="1"/>
    <col min="3842" max="3842" width="12" style="4" customWidth="1"/>
    <col min="3843" max="3843" width="11.5546875" style="4" customWidth="1"/>
    <col min="3844" max="3844" width="11.44140625" style="4" customWidth="1"/>
    <col min="3845" max="3845" width="10.5546875" style="4" customWidth="1"/>
    <col min="3846" max="3846" width="14.88671875" style="4" customWidth="1"/>
    <col min="3847" max="3847" width="16.109375" style="4" customWidth="1"/>
    <col min="3848" max="4096" width="9.109375" style="4"/>
    <col min="4097" max="4097" width="10.88671875" style="4" customWidth="1"/>
    <col min="4098" max="4098" width="12" style="4" customWidth="1"/>
    <col min="4099" max="4099" width="11.5546875" style="4" customWidth="1"/>
    <col min="4100" max="4100" width="11.44140625" style="4" customWidth="1"/>
    <col min="4101" max="4101" width="10.5546875" style="4" customWidth="1"/>
    <col min="4102" max="4102" width="14.88671875" style="4" customWidth="1"/>
    <col min="4103" max="4103" width="16.109375" style="4" customWidth="1"/>
    <col min="4104" max="4352" width="9.109375" style="4"/>
    <col min="4353" max="4353" width="10.88671875" style="4" customWidth="1"/>
    <col min="4354" max="4354" width="12" style="4" customWidth="1"/>
    <col min="4355" max="4355" width="11.5546875" style="4" customWidth="1"/>
    <col min="4356" max="4356" width="11.44140625" style="4" customWidth="1"/>
    <col min="4357" max="4357" width="10.5546875" style="4" customWidth="1"/>
    <col min="4358" max="4358" width="14.88671875" style="4" customWidth="1"/>
    <col min="4359" max="4359" width="16.109375" style="4" customWidth="1"/>
    <col min="4360" max="4608" width="9.109375" style="4"/>
    <col min="4609" max="4609" width="10.88671875" style="4" customWidth="1"/>
    <col min="4610" max="4610" width="12" style="4" customWidth="1"/>
    <col min="4611" max="4611" width="11.5546875" style="4" customWidth="1"/>
    <col min="4612" max="4612" width="11.44140625" style="4" customWidth="1"/>
    <col min="4613" max="4613" width="10.5546875" style="4" customWidth="1"/>
    <col min="4614" max="4614" width="14.88671875" style="4" customWidth="1"/>
    <col min="4615" max="4615" width="16.109375" style="4" customWidth="1"/>
    <col min="4616" max="4864" width="9.109375" style="4"/>
    <col min="4865" max="4865" width="10.88671875" style="4" customWidth="1"/>
    <col min="4866" max="4866" width="12" style="4" customWidth="1"/>
    <col min="4867" max="4867" width="11.5546875" style="4" customWidth="1"/>
    <col min="4868" max="4868" width="11.44140625" style="4" customWidth="1"/>
    <col min="4869" max="4869" width="10.5546875" style="4" customWidth="1"/>
    <col min="4870" max="4870" width="14.88671875" style="4" customWidth="1"/>
    <col min="4871" max="4871" width="16.109375" style="4" customWidth="1"/>
    <col min="4872" max="5120" width="9.109375" style="4"/>
    <col min="5121" max="5121" width="10.88671875" style="4" customWidth="1"/>
    <col min="5122" max="5122" width="12" style="4" customWidth="1"/>
    <col min="5123" max="5123" width="11.5546875" style="4" customWidth="1"/>
    <col min="5124" max="5124" width="11.44140625" style="4" customWidth="1"/>
    <col min="5125" max="5125" width="10.5546875" style="4" customWidth="1"/>
    <col min="5126" max="5126" width="14.88671875" style="4" customWidth="1"/>
    <col min="5127" max="5127" width="16.109375" style="4" customWidth="1"/>
    <col min="5128" max="5376" width="9.109375" style="4"/>
    <col min="5377" max="5377" width="10.88671875" style="4" customWidth="1"/>
    <col min="5378" max="5378" width="12" style="4" customWidth="1"/>
    <col min="5379" max="5379" width="11.5546875" style="4" customWidth="1"/>
    <col min="5380" max="5380" width="11.44140625" style="4" customWidth="1"/>
    <col min="5381" max="5381" width="10.5546875" style="4" customWidth="1"/>
    <col min="5382" max="5382" width="14.88671875" style="4" customWidth="1"/>
    <col min="5383" max="5383" width="16.109375" style="4" customWidth="1"/>
    <col min="5384" max="5632" width="9.109375" style="4"/>
    <col min="5633" max="5633" width="10.88671875" style="4" customWidth="1"/>
    <col min="5634" max="5634" width="12" style="4" customWidth="1"/>
    <col min="5635" max="5635" width="11.5546875" style="4" customWidth="1"/>
    <col min="5636" max="5636" width="11.44140625" style="4" customWidth="1"/>
    <col min="5637" max="5637" width="10.5546875" style="4" customWidth="1"/>
    <col min="5638" max="5638" width="14.88671875" style="4" customWidth="1"/>
    <col min="5639" max="5639" width="16.109375" style="4" customWidth="1"/>
    <col min="5640" max="5888" width="9.109375" style="4"/>
    <col min="5889" max="5889" width="10.88671875" style="4" customWidth="1"/>
    <col min="5890" max="5890" width="12" style="4" customWidth="1"/>
    <col min="5891" max="5891" width="11.5546875" style="4" customWidth="1"/>
    <col min="5892" max="5892" width="11.44140625" style="4" customWidth="1"/>
    <col min="5893" max="5893" width="10.5546875" style="4" customWidth="1"/>
    <col min="5894" max="5894" width="14.88671875" style="4" customWidth="1"/>
    <col min="5895" max="5895" width="16.109375" style="4" customWidth="1"/>
    <col min="5896" max="6144" width="9.109375" style="4"/>
    <col min="6145" max="6145" width="10.88671875" style="4" customWidth="1"/>
    <col min="6146" max="6146" width="12" style="4" customWidth="1"/>
    <col min="6147" max="6147" width="11.5546875" style="4" customWidth="1"/>
    <col min="6148" max="6148" width="11.44140625" style="4" customWidth="1"/>
    <col min="6149" max="6149" width="10.5546875" style="4" customWidth="1"/>
    <col min="6150" max="6150" width="14.88671875" style="4" customWidth="1"/>
    <col min="6151" max="6151" width="16.109375" style="4" customWidth="1"/>
    <col min="6152" max="6400" width="9.109375" style="4"/>
    <col min="6401" max="6401" width="10.88671875" style="4" customWidth="1"/>
    <col min="6402" max="6402" width="12" style="4" customWidth="1"/>
    <col min="6403" max="6403" width="11.5546875" style="4" customWidth="1"/>
    <col min="6404" max="6404" width="11.44140625" style="4" customWidth="1"/>
    <col min="6405" max="6405" width="10.5546875" style="4" customWidth="1"/>
    <col min="6406" max="6406" width="14.88671875" style="4" customWidth="1"/>
    <col min="6407" max="6407" width="16.109375" style="4" customWidth="1"/>
    <col min="6408" max="6656" width="9.109375" style="4"/>
    <col min="6657" max="6657" width="10.88671875" style="4" customWidth="1"/>
    <col min="6658" max="6658" width="12" style="4" customWidth="1"/>
    <col min="6659" max="6659" width="11.5546875" style="4" customWidth="1"/>
    <col min="6660" max="6660" width="11.44140625" style="4" customWidth="1"/>
    <col min="6661" max="6661" width="10.5546875" style="4" customWidth="1"/>
    <col min="6662" max="6662" width="14.88671875" style="4" customWidth="1"/>
    <col min="6663" max="6663" width="16.109375" style="4" customWidth="1"/>
    <col min="6664" max="6912" width="9.109375" style="4"/>
    <col min="6913" max="6913" width="10.88671875" style="4" customWidth="1"/>
    <col min="6914" max="6914" width="12" style="4" customWidth="1"/>
    <col min="6915" max="6915" width="11.5546875" style="4" customWidth="1"/>
    <col min="6916" max="6916" width="11.44140625" style="4" customWidth="1"/>
    <col min="6917" max="6917" width="10.5546875" style="4" customWidth="1"/>
    <col min="6918" max="6918" width="14.88671875" style="4" customWidth="1"/>
    <col min="6919" max="6919" width="16.109375" style="4" customWidth="1"/>
    <col min="6920" max="7168" width="9.109375" style="4"/>
    <col min="7169" max="7169" width="10.88671875" style="4" customWidth="1"/>
    <col min="7170" max="7170" width="12" style="4" customWidth="1"/>
    <col min="7171" max="7171" width="11.5546875" style="4" customWidth="1"/>
    <col min="7172" max="7172" width="11.44140625" style="4" customWidth="1"/>
    <col min="7173" max="7173" width="10.5546875" style="4" customWidth="1"/>
    <col min="7174" max="7174" width="14.88671875" style="4" customWidth="1"/>
    <col min="7175" max="7175" width="16.109375" style="4" customWidth="1"/>
    <col min="7176" max="7424" width="9.109375" style="4"/>
    <col min="7425" max="7425" width="10.88671875" style="4" customWidth="1"/>
    <col min="7426" max="7426" width="12" style="4" customWidth="1"/>
    <col min="7427" max="7427" width="11.5546875" style="4" customWidth="1"/>
    <col min="7428" max="7428" width="11.44140625" style="4" customWidth="1"/>
    <col min="7429" max="7429" width="10.5546875" style="4" customWidth="1"/>
    <col min="7430" max="7430" width="14.88671875" style="4" customWidth="1"/>
    <col min="7431" max="7431" width="16.109375" style="4" customWidth="1"/>
    <col min="7432" max="7680" width="9.109375" style="4"/>
    <col min="7681" max="7681" width="10.88671875" style="4" customWidth="1"/>
    <col min="7682" max="7682" width="12" style="4" customWidth="1"/>
    <col min="7683" max="7683" width="11.5546875" style="4" customWidth="1"/>
    <col min="7684" max="7684" width="11.44140625" style="4" customWidth="1"/>
    <col min="7685" max="7685" width="10.5546875" style="4" customWidth="1"/>
    <col min="7686" max="7686" width="14.88671875" style="4" customWidth="1"/>
    <col min="7687" max="7687" width="16.109375" style="4" customWidth="1"/>
    <col min="7688" max="7936" width="9.109375" style="4"/>
    <col min="7937" max="7937" width="10.88671875" style="4" customWidth="1"/>
    <col min="7938" max="7938" width="12" style="4" customWidth="1"/>
    <col min="7939" max="7939" width="11.5546875" style="4" customWidth="1"/>
    <col min="7940" max="7940" width="11.44140625" style="4" customWidth="1"/>
    <col min="7941" max="7941" width="10.5546875" style="4" customWidth="1"/>
    <col min="7942" max="7942" width="14.88671875" style="4" customWidth="1"/>
    <col min="7943" max="7943" width="16.109375" style="4" customWidth="1"/>
    <col min="7944" max="8192" width="9.109375" style="4"/>
    <col min="8193" max="8193" width="10.88671875" style="4" customWidth="1"/>
    <col min="8194" max="8194" width="12" style="4" customWidth="1"/>
    <col min="8195" max="8195" width="11.5546875" style="4" customWidth="1"/>
    <col min="8196" max="8196" width="11.44140625" style="4" customWidth="1"/>
    <col min="8197" max="8197" width="10.5546875" style="4" customWidth="1"/>
    <col min="8198" max="8198" width="14.88671875" style="4" customWidth="1"/>
    <col min="8199" max="8199" width="16.109375" style="4" customWidth="1"/>
    <col min="8200" max="8448" width="9.109375" style="4"/>
    <col min="8449" max="8449" width="10.88671875" style="4" customWidth="1"/>
    <col min="8450" max="8450" width="12" style="4" customWidth="1"/>
    <col min="8451" max="8451" width="11.5546875" style="4" customWidth="1"/>
    <col min="8452" max="8452" width="11.44140625" style="4" customWidth="1"/>
    <col min="8453" max="8453" width="10.5546875" style="4" customWidth="1"/>
    <col min="8454" max="8454" width="14.88671875" style="4" customWidth="1"/>
    <col min="8455" max="8455" width="16.109375" style="4" customWidth="1"/>
    <col min="8456" max="8704" width="9.109375" style="4"/>
    <col min="8705" max="8705" width="10.88671875" style="4" customWidth="1"/>
    <col min="8706" max="8706" width="12" style="4" customWidth="1"/>
    <col min="8707" max="8707" width="11.5546875" style="4" customWidth="1"/>
    <col min="8708" max="8708" width="11.44140625" style="4" customWidth="1"/>
    <col min="8709" max="8709" width="10.5546875" style="4" customWidth="1"/>
    <col min="8710" max="8710" width="14.88671875" style="4" customWidth="1"/>
    <col min="8711" max="8711" width="16.109375" style="4" customWidth="1"/>
    <col min="8712" max="8960" width="9.109375" style="4"/>
    <col min="8961" max="8961" width="10.88671875" style="4" customWidth="1"/>
    <col min="8962" max="8962" width="12" style="4" customWidth="1"/>
    <col min="8963" max="8963" width="11.5546875" style="4" customWidth="1"/>
    <col min="8964" max="8964" width="11.44140625" style="4" customWidth="1"/>
    <col min="8965" max="8965" width="10.5546875" style="4" customWidth="1"/>
    <col min="8966" max="8966" width="14.88671875" style="4" customWidth="1"/>
    <col min="8967" max="8967" width="16.109375" style="4" customWidth="1"/>
    <col min="8968" max="9216" width="9.109375" style="4"/>
    <col min="9217" max="9217" width="10.88671875" style="4" customWidth="1"/>
    <col min="9218" max="9218" width="12" style="4" customWidth="1"/>
    <col min="9219" max="9219" width="11.5546875" style="4" customWidth="1"/>
    <col min="9220" max="9220" width="11.44140625" style="4" customWidth="1"/>
    <col min="9221" max="9221" width="10.5546875" style="4" customWidth="1"/>
    <col min="9222" max="9222" width="14.88671875" style="4" customWidth="1"/>
    <col min="9223" max="9223" width="16.109375" style="4" customWidth="1"/>
    <col min="9224" max="9472" width="9.109375" style="4"/>
    <col min="9473" max="9473" width="10.88671875" style="4" customWidth="1"/>
    <col min="9474" max="9474" width="12" style="4" customWidth="1"/>
    <col min="9475" max="9475" width="11.5546875" style="4" customWidth="1"/>
    <col min="9476" max="9476" width="11.44140625" style="4" customWidth="1"/>
    <col min="9477" max="9477" width="10.5546875" style="4" customWidth="1"/>
    <col min="9478" max="9478" width="14.88671875" style="4" customWidth="1"/>
    <col min="9479" max="9479" width="16.109375" style="4" customWidth="1"/>
    <col min="9480" max="9728" width="9.109375" style="4"/>
    <col min="9729" max="9729" width="10.88671875" style="4" customWidth="1"/>
    <col min="9730" max="9730" width="12" style="4" customWidth="1"/>
    <col min="9731" max="9731" width="11.5546875" style="4" customWidth="1"/>
    <col min="9732" max="9732" width="11.44140625" style="4" customWidth="1"/>
    <col min="9733" max="9733" width="10.5546875" style="4" customWidth="1"/>
    <col min="9734" max="9734" width="14.88671875" style="4" customWidth="1"/>
    <col min="9735" max="9735" width="16.109375" style="4" customWidth="1"/>
    <col min="9736" max="9984" width="9.109375" style="4"/>
    <col min="9985" max="9985" width="10.88671875" style="4" customWidth="1"/>
    <col min="9986" max="9986" width="12" style="4" customWidth="1"/>
    <col min="9987" max="9987" width="11.5546875" style="4" customWidth="1"/>
    <col min="9988" max="9988" width="11.44140625" style="4" customWidth="1"/>
    <col min="9989" max="9989" width="10.5546875" style="4" customWidth="1"/>
    <col min="9990" max="9990" width="14.88671875" style="4" customWidth="1"/>
    <col min="9991" max="9991" width="16.109375" style="4" customWidth="1"/>
    <col min="9992" max="10240" width="9.109375" style="4"/>
    <col min="10241" max="10241" width="10.88671875" style="4" customWidth="1"/>
    <col min="10242" max="10242" width="12" style="4" customWidth="1"/>
    <col min="10243" max="10243" width="11.5546875" style="4" customWidth="1"/>
    <col min="10244" max="10244" width="11.44140625" style="4" customWidth="1"/>
    <col min="10245" max="10245" width="10.5546875" style="4" customWidth="1"/>
    <col min="10246" max="10246" width="14.88671875" style="4" customWidth="1"/>
    <col min="10247" max="10247" width="16.109375" style="4" customWidth="1"/>
    <col min="10248" max="10496" width="9.109375" style="4"/>
    <col min="10497" max="10497" width="10.88671875" style="4" customWidth="1"/>
    <col min="10498" max="10498" width="12" style="4" customWidth="1"/>
    <col min="10499" max="10499" width="11.5546875" style="4" customWidth="1"/>
    <col min="10500" max="10500" width="11.44140625" style="4" customWidth="1"/>
    <col min="10501" max="10501" width="10.5546875" style="4" customWidth="1"/>
    <col min="10502" max="10502" width="14.88671875" style="4" customWidth="1"/>
    <col min="10503" max="10503" width="16.109375" style="4" customWidth="1"/>
    <col min="10504" max="10752" width="9.109375" style="4"/>
    <col min="10753" max="10753" width="10.88671875" style="4" customWidth="1"/>
    <col min="10754" max="10754" width="12" style="4" customWidth="1"/>
    <col min="10755" max="10755" width="11.5546875" style="4" customWidth="1"/>
    <col min="10756" max="10756" width="11.44140625" style="4" customWidth="1"/>
    <col min="10757" max="10757" width="10.5546875" style="4" customWidth="1"/>
    <col min="10758" max="10758" width="14.88671875" style="4" customWidth="1"/>
    <col min="10759" max="10759" width="16.109375" style="4" customWidth="1"/>
    <col min="10760" max="11008" width="9.109375" style="4"/>
    <col min="11009" max="11009" width="10.88671875" style="4" customWidth="1"/>
    <col min="11010" max="11010" width="12" style="4" customWidth="1"/>
    <col min="11011" max="11011" width="11.5546875" style="4" customWidth="1"/>
    <col min="11012" max="11012" width="11.44140625" style="4" customWidth="1"/>
    <col min="11013" max="11013" width="10.5546875" style="4" customWidth="1"/>
    <col min="11014" max="11014" width="14.88671875" style="4" customWidth="1"/>
    <col min="11015" max="11015" width="16.109375" style="4" customWidth="1"/>
    <col min="11016" max="11264" width="9.109375" style="4"/>
    <col min="11265" max="11265" width="10.88671875" style="4" customWidth="1"/>
    <col min="11266" max="11266" width="12" style="4" customWidth="1"/>
    <col min="11267" max="11267" width="11.5546875" style="4" customWidth="1"/>
    <col min="11268" max="11268" width="11.44140625" style="4" customWidth="1"/>
    <col min="11269" max="11269" width="10.5546875" style="4" customWidth="1"/>
    <col min="11270" max="11270" width="14.88671875" style="4" customWidth="1"/>
    <col min="11271" max="11271" width="16.109375" style="4" customWidth="1"/>
    <col min="11272" max="11520" width="9.109375" style="4"/>
    <col min="11521" max="11521" width="10.88671875" style="4" customWidth="1"/>
    <col min="11522" max="11522" width="12" style="4" customWidth="1"/>
    <col min="11523" max="11523" width="11.5546875" style="4" customWidth="1"/>
    <col min="11524" max="11524" width="11.44140625" style="4" customWidth="1"/>
    <col min="11525" max="11525" width="10.5546875" style="4" customWidth="1"/>
    <col min="11526" max="11526" width="14.88671875" style="4" customWidth="1"/>
    <col min="11527" max="11527" width="16.109375" style="4" customWidth="1"/>
    <col min="11528" max="11776" width="9.109375" style="4"/>
    <col min="11777" max="11777" width="10.88671875" style="4" customWidth="1"/>
    <col min="11778" max="11778" width="12" style="4" customWidth="1"/>
    <col min="11779" max="11779" width="11.5546875" style="4" customWidth="1"/>
    <col min="11780" max="11780" width="11.44140625" style="4" customWidth="1"/>
    <col min="11781" max="11781" width="10.5546875" style="4" customWidth="1"/>
    <col min="11782" max="11782" width="14.88671875" style="4" customWidth="1"/>
    <col min="11783" max="11783" width="16.109375" style="4" customWidth="1"/>
    <col min="11784" max="12032" width="9.109375" style="4"/>
    <col min="12033" max="12033" width="10.88671875" style="4" customWidth="1"/>
    <col min="12034" max="12034" width="12" style="4" customWidth="1"/>
    <col min="12035" max="12035" width="11.5546875" style="4" customWidth="1"/>
    <col min="12036" max="12036" width="11.44140625" style="4" customWidth="1"/>
    <col min="12037" max="12037" width="10.5546875" style="4" customWidth="1"/>
    <col min="12038" max="12038" width="14.88671875" style="4" customWidth="1"/>
    <col min="12039" max="12039" width="16.109375" style="4" customWidth="1"/>
    <col min="12040" max="12288" width="9.109375" style="4"/>
    <col min="12289" max="12289" width="10.88671875" style="4" customWidth="1"/>
    <col min="12290" max="12290" width="12" style="4" customWidth="1"/>
    <col min="12291" max="12291" width="11.5546875" style="4" customWidth="1"/>
    <col min="12292" max="12292" width="11.44140625" style="4" customWidth="1"/>
    <col min="12293" max="12293" width="10.5546875" style="4" customWidth="1"/>
    <col min="12294" max="12294" width="14.88671875" style="4" customWidth="1"/>
    <col min="12295" max="12295" width="16.109375" style="4" customWidth="1"/>
    <col min="12296" max="12544" width="9.109375" style="4"/>
    <col min="12545" max="12545" width="10.88671875" style="4" customWidth="1"/>
    <col min="12546" max="12546" width="12" style="4" customWidth="1"/>
    <col min="12547" max="12547" width="11.5546875" style="4" customWidth="1"/>
    <col min="12548" max="12548" width="11.44140625" style="4" customWidth="1"/>
    <col min="12549" max="12549" width="10.5546875" style="4" customWidth="1"/>
    <col min="12550" max="12550" width="14.88671875" style="4" customWidth="1"/>
    <col min="12551" max="12551" width="16.109375" style="4" customWidth="1"/>
    <col min="12552" max="12800" width="9.109375" style="4"/>
    <col min="12801" max="12801" width="10.88671875" style="4" customWidth="1"/>
    <col min="12802" max="12802" width="12" style="4" customWidth="1"/>
    <col min="12803" max="12803" width="11.5546875" style="4" customWidth="1"/>
    <col min="12804" max="12804" width="11.44140625" style="4" customWidth="1"/>
    <col min="12805" max="12805" width="10.5546875" style="4" customWidth="1"/>
    <col min="12806" max="12806" width="14.88671875" style="4" customWidth="1"/>
    <col min="12807" max="12807" width="16.109375" style="4" customWidth="1"/>
    <col min="12808" max="13056" width="9.109375" style="4"/>
    <col min="13057" max="13057" width="10.88671875" style="4" customWidth="1"/>
    <col min="13058" max="13058" width="12" style="4" customWidth="1"/>
    <col min="13059" max="13059" width="11.5546875" style="4" customWidth="1"/>
    <col min="13060" max="13060" width="11.44140625" style="4" customWidth="1"/>
    <col min="13061" max="13061" width="10.5546875" style="4" customWidth="1"/>
    <col min="13062" max="13062" width="14.88671875" style="4" customWidth="1"/>
    <col min="13063" max="13063" width="16.109375" style="4" customWidth="1"/>
    <col min="13064" max="13312" width="9.109375" style="4"/>
    <col min="13313" max="13313" width="10.88671875" style="4" customWidth="1"/>
    <col min="13314" max="13314" width="12" style="4" customWidth="1"/>
    <col min="13315" max="13315" width="11.5546875" style="4" customWidth="1"/>
    <col min="13316" max="13316" width="11.44140625" style="4" customWidth="1"/>
    <col min="13317" max="13317" width="10.5546875" style="4" customWidth="1"/>
    <col min="13318" max="13318" width="14.88671875" style="4" customWidth="1"/>
    <col min="13319" max="13319" width="16.109375" style="4" customWidth="1"/>
    <col min="13320" max="13568" width="9.109375" style="4"/>
    <col min="13569" max="13569" width="10.88671875" style="4" customWidth="1"/>
    <col min="13570" max="13570" width="12" style="4" customWidth="1"/>
    <col min="13571" max="13571" width="11.5546875" style="4" customWidth="1"/>
    <col min="13572" max="13572" width="11.44140625" style="4" customWidth="1"/>
    <col min="13573" max="13573" width="10.5546875" style="4" customWidth="1"/>
    <col min="13574" max="13574" width="14.88671875" style="4" customWidth="1"/>
    <col min="13575" max="13575" width="16.109375" style="4" customWidth="1"/>
    <col min="13576" max="13824" width="9.109375" style="4"/>
    <col min="13825" max="13825" width="10.88671875" style="4" customWidth="1"/>
    <col min="13826" max="13826" width="12" style="4" customWidth="1"/>
    <col min="13827" max="13827" width="11.5546875" style="4" customWidth="1"/>
    <col min="13828" max="13828" width="11.44140625" style="4" customWidth="1"/>
    <col min="13829" max="13829" width="10.5546875" style="4" customWidth="1"/>
    <col min="13830" max="13830" width="14.88671875" style="4" customWidth="1"/>
    <col min="13831" max="13831" width="16.109375" style="4" customWidth="1"/>
    <col min="13832" max="14080" width="9.109375" style="4"/>
    <col min="14081" max="14081" width="10.88671875" style="4" customWidth="1"/>
    <col min="14082" max="14082" width="12" style="4" customWidth="1"/>
    <col min="14083" max="14083" width="11.5546875" style="4" customWidth="1"/>
    <col min="14084" max="14084" width="11.44140625" style="4" customWidth="1"/>
    <col min="14085" max="14085" width="10.5546875" style="4" customWidth="1"/>
    <col min="14086" max="14086" width="14.88671875" style="4" customWidth="1"/>
    <col min="14087" max="14087" width="16.109375" style="4" customWidth="1"/>
    <col min="14088" max="14336" width="9.109375" style="4"/>
    <col min="14337" max="14337" width="10.88671875" style="4" customWidth="1"/>
    <col min="14338" max="14338" width="12" style="4" customWidth="1"/>
    <col min="14339" max="14339" width="11.5546875" style="4" customWidth="1"/>
    <col min="14340" max="14340" width="11.44140625" style="4" customWidth="1"/>
    <col min="14341" max="14341" width="10.5546875" style="4" customWidth="1"/>
    <col min="14342" max="14342" width="14.88671875" style="4" customWidth="1"/>
    <col min="14343" max="14343" width="16.109375" style="4" customWidth="1"/>
    <col min="14344" max="14592" width="9.109375" style="4"/>
    <col min="14593" max="14593" width="10.88671875" style="4" customWidth="1"/>
    <col min="14594" max="14594" width="12" style="4" customWidth="1"/>
    <col min="14595" max="14595" width="11.5546875" style="4" customWidth="1"/>
    <col min="14596" max="14596" width="11.44140625" style="4" customWidth="1"/>
    <col min="14597" max="14597" width="10.5546875" style="4" customWidth="1"/>
    <col min="14598" max="14598" width="14.88671875" style="4" customWidth="1"/>
    <col min="14599" max="14599" width="16.109375" style="4" customWidth="1"/>
    <col min="14600" max="14848" width="9.109375" style="4"/>
    <col min="14849" max="14849" width="10.88671875" style="4" customWidth="1"/>
    <col min="14850" max="14850" width="12" style="4" customWidth="1"/>
    <col min="14851" max="14851" width="11.5546875" style="4" customWidth="1"/>
    <col min="14852" max="14852" width="11.44140625" style="4" customWidth="1"/>
    <col min="14853" max="14853" width="10.5546875" style="4" customWidth="1"/>
    <col min="14854" max="14854" width="14.88671875" style="4" customWidth="1"/>
    <col min="14855" max="14855" width="16.109375" style="4" customWidth="1"/>
    <col min="14856" max="15104" width="9.109375" style="4"/>
    <col min="15105" max="15105" width="10.88671875" style="4" customWidth="1"/>
    <col min="15106" max="15106" width="12" style="4" customWidth="1"/>
    <col min="15107" max="15107" width="11.5546875" style="4" customWidth="1"/>
    <col min="15108" max="15108" width="11.44140625" style="4" customWidth="1"/>
    <col min="15109" max="15109" width="10.5546875" style="4" customWidth="1"/>
    <col min="15110" max="15110" width="14.88671875" style="4" customWidth="1"/>
    <col min="15111" max="15111" width="16.109375" style="4" customWidth="1"/>
    <col min="15112" max="15360" width="9.109375" style="4"/>
    <col min="15361" max="15361" width="10.88671875" style="4" customWidth="1"/>
    <col min="15362" max="15362" width="12" style="4" customWidth="1"/>
    <col min="15363" max="15363" width="11.5546875" style="4" customWidth="1"/>
    <col min="15364" max="15364" width="11.44140625" style="4" customWidth="1"/>
    <col min="15365" max="15365" width="10.5546875" style="4" customWidth="1"/>
    <col min="15366" max="15366" width="14.88671875" style="4" customWidth="1"/>
    <col min="15367" max="15367" width="16.109375" style="4" customWidth="1"/>
    <col min="15368" max="15616" width="9.109375" style="4"/>
    <col min="15617" max="15617" width="10.88671875" style="4" customWidth="1"/>
    <col min="15618" max="15618" width="12" style="4" customWidth="1"/>
    <col min="15619" max="15619" width="11.5546875" style="4" customWidth="1"/>
    <col min="15620" max="15620" width="11.44140625" style="4" customWidth="1"/>
    <col min="15621" max="15621" width="10.5546875" style="4" customWidth="1"/>
    <col min="15622" max="15622" width="14.88671875" style="4" customWidth="1"/>
    <col min="15623" max="15623" width="16.109375" style="4" customWidth="1"/>
    <col min="15624" max="15872" width="9.109375" style="4"/>
    <col min="15873" max="15873" width="10.88671875" style="4" customWidth="1"/>
    <col min="15874" max="15874" width="12" style="4" customWidth="1"/>
    <col min="15875" max="15875" width="11.5546875" style="4" customWidth="1"/>
    <col min="15876" max="15876" width="11.44140625" style="4" customWidth="1"/>
    <col min="15877" max="15877" width="10.5546875" style="4" customWidth="1"/>
    <col min="15878" max="15878" width="14.88671875" style="4" customWidth="1"/>
    <col min="15879" max="15879" width="16.109375" style="4" customWidth="1"/>
    <col min="15880" max="16128" width="9.109375" style="4"/>
    <col min="16129" max="16129" width="10.88671875" style="4" customWidth="1"/>
    <col min="16130" max="16130" width="12" style="4" customWidth="1"/>
    <col min="16131" max="16131" width="11.5546875" style="4" customWidth="1"/>
    <col min="16132" max="16132" width="11.44140625" style="4" customWidth="1"/>
    <col min="16133" max="16133" width="10.5546875" style="4" customWidth="1"/>
    <col min="16134" max="16134" width="14.88671875" style="4" customWidth="1"/>
    <col min="16135" max="16135" width="16.109375" style="4" customWidth="1"/>
    <col min="16136" max="16384" width="9.109375" style="4"/>
  </cols>
  <sheetData>
    <row r="1" spans="1:13">
      <c r="G1" s="1578" t="s">
        <v>47</v>
      </c>
      <c r="I1" s="4" t="s">
        <v>104</v>
      </c>
      <c r="L1" s="1579">
        <v>664.83879999999999</v>
      </c>
    </row>
    <row r="2" spans="1:13" ht="15.6">
      <c r="A2" s="53" t="s">
        <v>663</v>
      </c>
      <c r="B2" s="699"/>
      <c r="C2" s="699"/>
      <c r="D2" s="699"/>
      <c r="E2" s="699"/>
      <c r="F2" s="699"/>
      <c r="G2" s="699"/>
      <c r="I2" s="4" t="s">
        <v>107</v>
      </c>
      <c r="L2" s="1579">
        <v>295.27</v>
      </c>
      <c r="M2" s="4">
        <v>0.44412269560681472</v>
      </c>
    </row>
    <row r="3" spans="1:13" ht="12.75" customHeight="1">
      <c r="A3" s="53" t="s">
        <v>664</v>
      </c>
      <c r="B3" s="699"/>
      <c r="C3" s="699"/>
      <c r="D3" s="699"/>
      <c r="E3" s="699"/>
      <c r="F3" s="699"/>
      <c r="G3" s="699"/>
      <c r="I3" s="4" t="s">
        <v>108</v>
      </c>
      <c r="L3" s="1579">
        <v>0</v>
      </c>
      <c r="M3" s="4">
        <v>0</v>
      </c>
    </row>
    <row r="4" spans="1:13" ht="12.75" customHeight="1">
      <c r="A4" s="53" t="s">
        <v>1315</v>
      </c>
      <c r="B4" s="45"/>
      <c r="C4" s="45"/>
      <c r="D4" s="45"/>
      <c r="E4" s="45"/>
      <c r="F4" s="45"/>
      <c r="G4" s="45"/>
      <c r="I4" s="4" t="s">
        <v>105</v>
      </c>
      <c r="L4" s="1579">
        <v>338.50710000000004</v>
      </c>
      <c r="M4" s="4">
        <v>0.50915665571864943</v>
      </c>
    </row>
    <row r="5" spans="1:13" ht="13.5" customHeight="1">
      <c r="A5" s="53" t="s">
        <v>205</v>
      </c>
      <c r="B5" s="45"/>
      <c r="C5" s="45"/>
      <c r="D5" s="45"/>
      <c r="E5" s="45"/>
      <c r="F5" s="45"/>
      <c r="G5" s="45"/>
      <c r="I5" s="4" t="s">
        <v>106</v>
      </c>
      <c r="L5" s="1579">
        <v>31.061699999999998</v>
      </c>
      <c r="M5" s="4">
        <v>4.672064867453584E-2</v>
      </c>
    </row>
    <row r="6" spans="1:13" ht="12.75" customHeight="1">
      <c r="A6" s="53" t="s">
        <v>207</v>
      </c>
      <c r="B6" s="50"/>
      <c r="C6" s="50"/>
      <c r="D6" s="1828"/>
      <c r="E6" s="50"/>
      <c r="F6" s="50"/>
      <c r="G6" s="50"/>
      <c r="L6" s="1579"/>
    </row>
    <row r="7" spans="1:13" ht="15.6">
      <c r="A7" s="53" t="s">
        <v>206</v>
      </c>
      <c r="B7" s="50"/>
      <c r="C7" s="50"/>
      <c r="D7" s="50"/>
      <c r="E7" s="50"/>
      <c r="F7" s="50"/>
      <c r="G7" s="50"/>
      <c r="L7" s="1772">
        <v>664.83879999999999</v>
      </c>
      <c r="M7" s="15">
        <v>829.96699999999998</v>
      </c>
    </row>
    <row r="8" spans="1:13">
      <c r="A8" s="699"/>
      <c r="B8" s="50"/>
      <c r="C8" s="50"/>
      <c r="D8" s="50"/>
      <c r="E8" s="50"/>
      <c r="F8" s="50"/>
      <c r="G8" s="50"/>
      <c r="L8" s="1772"/>
    </row>
    <row r="9" spans="1:13">
      <c r="A9" s="1561" t="s">
        <v>1271</v>
      </c>
      <c r="G9" s="702" t="s">
        <v>1311</v>
      </c>
      <c r="L9" s="1773">
        <v>833</v>
      </c>
      <c r="M9" s="1773" t="s">
        <v>1322</v>
      </c>
    </row>
    <row r="10" spans="1:13" ht="79.2">
      <c r="A10" s="1918"/>
      <c r="B10" s="1920" t="s">
        <v>48</v>
      </c>
      <c r="C10" s="1920" t="s">
        <v>49</v>
      </c>
      <c r="D10" s="1920" t="s">
        <v>50</v>
      </c>
      <c r="E10" s="1571" t="s">
        <v>51</v>
      </c>
      <c r="F10" s="1571" t="s">
        <v>52</v>
      </c>
      <c r="G10" s="1571" t="s">
        <v>53</v>
      </c>
      <c r="I10" s="32"/>
    </row>
    <row r="11" spans="1:13">
      <c r="A11" s="1919"/>
      <c r="B11" s="1921"/>
      <c r="C11" s="1921"/>
      <c r="D11" s="1921"/>
      <c r="E11" s="1571" t="s">
        <v>54</v>
      </c>
      <c r="F11" s="1571" t="s">
        <v>55</v>
      </c>
      <c r="G11" s="1571" t="s">
        <v>56</v>
      </c>
      <c r="L11" s="28"/>
    </row>
    <row r="12" spans="1:13">
      <c r="A12" s="388">
        <v>1</v>
      </c>
      <c r="B12" s="388">
        <v>2</v>
      </c>
      <c r="C12" s="388">
        <v>3</v>
      </c>
      <c r="D12" s="388">
        <v>4</v>
      </c>
      <c r="E12" s="388">
        <v>5</v>
      </c>
      <c r="F12" s="388">
        <v>6</v>
      </c>
      <c r="G12" s="388" t="s">
        <v>115</v>
      </c>
    </row>
    <row r="13" spans="1:13">
      <c r="A13" s="1922" t="s">
        <v>57</v>
      </c>
      <c r="B13" s="395">
        <v>1150</v>
      </c>
      <c r="C13" s="388" t="s">
        <v>46</v>
      </c>
      <c r="D13" s="1570" t="s">
        <v>58</v>
      </c>
      <c r="E13" s="388">
        <v>800</v>
      </c>
      <c r="F13" s="388"/>
      <c r="G13" s="388"/>
    </row>
    <row r="14" spans="1:13">
      <c r="A14" s="1922"/>
      <c r="B14" s="395">
        <v>750</v>
      </c>
      <c r="C14" s="388">
        <v>1</v>
      </c>
      <c r="D14" s="1570" t="s">
        <v>58</v>
      </c>
      <c r="E14" s="388">
        <v>600</v>
      </c>
      <c r="F14" s="388"/>
      <c r="G14" s="388"/>
      <c r="L14" s="28"/>
      <c r="M14" s="33"/>
    </row>
    <row r="15" spans="1:13">
      <c r="A15" s="1922"/>
      <c r="B15" s="1923" t="s">
        <v>59</v>
      </c>
      <c r="C15" s="1924">
        <v>1</v>
      </c>
      <c r="D15" s="1570" t="s">
        <v>58</v>
      </c>
      <c r="E15" s="388">
        <v>400</v>
      </c>
      <c r="F15" s="388"/>
      <c r="G15" s="388"/>
      <c r="L15" s="18"/>
      <c r="M15" s="33"/>
    </row>
    <row r="16" spans="1:13">
      <c r="A16" s="1922"/>
      <c r="B16" s="1923"/>
      <c r="C16" s="1924"/>
      <c r="D16" s="1570" t="s">
        <v>60</v>
      </c>
      <c r="E16" s="388">
        <v>300</v>
      </c>
      <c r="F16" s="388"/>
      <c r="G16" s="388"/>
    </row>
    <row r="17" spans="1:12">
      <c r="A17" s="1922"/>
      <c r="B17" s="1923">
        <v>330</v>
      </c>
      <c r="C17" s="1924">
        <v>1</v>
      </c>
      <c r="D17" s="1570" t="s">
        <v>58</v>
      </c>
      <c r="E17" s="388">
        <v>230</v>
      </c>
      <c r="F17" s="388"/>
      <c r="G17" s="388"/>
      <c r="L17" s="28"/>
    </row>
    <row r="18" spans="1:12">
      <c r="A18" s="1922"/>
      <c r="B18" s="1923"/>
      <c r="C18" s="1924"/>
      <c r="D18" s="1570" t="s">
        <v>60</v>
      </c>
      <c r="E18" s="388">
        <v>170</v>
      </c>
      <c r="F18" s="388"/>
      <c r="G18" s="388"/>
    </row>
    <row r="19" spans="1:12">
      <c r="A19" s="1922"/>
      <c r="B19" s="1923"/>
      <c r="C19" s="1924">
        <v>2</v>
      </c>
      <c r="D19" s="1570" t="s">
        <v>58</v>
      </c>
      <c r="E19" s="388">
        <v>290</v>
      </c>
      <c r="F19" s="388"/>
      <c r="G19" s="388"/>
    </row>
    <row r="20" spans="1:12">
      <c r="A20" s="1922"/>
      <c r="B20" s="1923"/>
      <c r="C20" s="1924"/>
      <c r="D20" s="1570" t="s">
        <v>60</v>
      </c>
      <c r="E20" s="388">
        <v>210</v>
      </c>
      <c r="F20" s="1782"/>
      <c r="G20" s="1782"/>
    </row>
    <row r="21" spans="1:12">
      <c r="A21" s="1922"/>
      <c r="B21" s="1925">
        <v>220</v>
      </c>
      <c r="C21" s="1922">
        <v>1</v>
      </c>
      <c r="D21" s="1570" t="s">
        <v>61</v>
      </c>
      <c r="E21" s="390">
        <v>260</v>
      </c>
      <c r="F21" s="1783"/>
      <c r="G21" s="1783"/>
    </row>
    <row r="22" spans="1:12">
      <c r="A22" s="1922"/>
      <c r="B22" s="1925"/>
      <c r="C22" s="1922"/>
      <c r="D22" s="1570" t="s">
        <v>58</v>
      </c>
      <c r="E22" s="390">
        <v>210</v>
      </c>
      <c r="F22" s="1784"/>
      <c r="G22" s="1784"/>
    </row>
    <row r="23" spans="1:12">
      <c r="A23" s="1922"/>
      <c r="B23" s="1925"/>
      <c r="C23" s="1922"/>
      <c r="D23" s="1570" t="s">
        <v>60</v>
      </c>
      <c r="E23" s="390">
        <v>140</v>
      </c>
      <c r="F23" s="1784"/>
      <c r="G23" s="1784"/>
    </row>
    <row r="24" spans="1:12">
      <c r="A24" s="1922"/>
      <c r="B24" s="1925"/>
      <c r="C24" s="1922">
        <v>2</v>
      </c>
      <c r="D24" s="1570" t="s">
        <v>58</v>
      </c>
      <c r="E24" s="390">
        <v>270</v>
      </c>
      <c r="F24" s="1784">
        <v>0.1</v>
      </c>
      <c r="G24" s="1785">
        <v>0.27</v>
      </c>
    </row>
    <row r="25" spans="1:12">
      <c r="A25" s="1922"/>
      <c r="B25" s="1925"/>
      <c r="C25" s="1922"/>
      <c r="D25" s="1570" t="s">
        <v>60</v>
      </c>
      <c r="E25" s="390">
        <v>180</v>
      </c>
      <c r="F25" s="1784"/>
      <c r="G25" s="1784"/>
    </row>
    <row r="26" spans="1:12">
      <c r="A26" s="1922"/>
      <c r="B26" s="1925" t="s">
        <v>62</v>
      </c>
      <c r="C26" s="1922">
        <v>1</v>
      </c>
      <c r="D26" s="1570" t="s">
        <v>61</v>
      </c>
      <c r="E26" s="390">
        <v>180</v>
      </c>
      <c r="F26" s="1783"/>
      <c r="G26" s="1783"/>
    </row>
    <row r="27" spans="1:12">
      <c r="A27" s="1922"/>
      <c r="B27" s="1925"/>
      <c r="C27" s="1922"/>
      <c r="D27" s="1570" t="s">
        <v>58</v>
      </c>
      <c r="E27" s="390">
        <v>160</v>
      </c>
      <c r="F27" s="1784"/>
      <c r="G27" s="1786">
        <v>0</v>
      </c>
    </row>
    <row r="28" spans="1:12">
      <c r="A28" s="1922"/>
      <c r="B28" s="1925"/>
      <c r="C28" s="1922"/>
      <c r="D28" s="1570" t="s">
        <v>60</v>
      </c>
      <c r="E28" s="390">
        <v>130</v>
      </c>
      <c r="F28" s="1787"/>
      <c r="G28" s="1784"/>
    </row>
    <row r="29" spans="1:12">
      <c r="A29" s="1922"/>
      <c r="B29" s="1925"/>
      <c r="C29" s="1922">
        <v>2</v>
      </c>
      <c r="D29" s="1570" t="s">
        <v>58</v>
      </c>
      <c r="E29" s="390">
        <v>190</v>
      </c>
      <c r="F29" s="1784"/>
      <c r="G29" s="1783"/>
    </row>
    <row r="30" spans="1:12">
      <c r="A30" s="1922"/>
      <c r="B30" s="1925"/>
      <c r="C30" s="1922"/>
      <c r="D30" s="1570" t="s">
        <v>60</v>
      </c>
      <c r="E30" s="390">
        <v>160</v>
      </c>
      <c r="F30" s="1787"/>
      <c r="G30" s="1784"/>
    </row>
    <row r="31" spans="1:12">
      <c r="A31" s="1922" t="s">
        <v>63</v>
      </c>
      <c r="B31" s="396">
        <v>220</v>
      </c>
      <c r="C31" s="388" t="s">
        <v>46</v>
      </c>
      <c r="D31" s="388" t="s">
        <v>46</v>
      </c>
      <c r="E31" s="390">
        <v>3000</v>
      </c>
      <c r="F31" s="1787"/>
      <c r="G31" s="1784"/>
    </row>
    <row r="32" spans="1:12">
      <c r="A32" s="1922"/>
      <c r="B32" s="396">
        <v>110</v>
      </c>
      <c r="C32" s="388" t="s">
        <v>46</v>
      </c>
      <c r="D32" s="388" t="s">
        <v>46</v>
      </c>
      <c r="E32" s="390">
        <v>2300</v>
      </c>
      <c r="F32" s="1787"/>
      <c r="G32" s="1784"/>
    </row>
    <row r="33" spans="1:13">
      <c r="A33" s="1922" t="s">
        <v>114</v>
      </c>
      <c r="B33" s="1922"/>
      <c r="C33" s="1922"/>
      <c r="D33" s="1922"/>
      <c r="E33" s="1922"/>
      <c r="F33" s="1786"/>
      <c r="G33" s="1786">
        <v>0.27</v>
      </c>
      <c r="H33" s="26"/>
      <c r="I33" s="25"/>
      <c r="J33" s="25"/>
      <c r="K33" s="25"/>
      <c r="L33" s="25"/>
    </row>
    <row r="34" spans="1:13">
      <c r="A34" s="1927" t="s">
        <v>57</v>
      </c>
      <c r="B34" s="1928">
        <v>35</v>
      </c>
      <c r="C34" s="1927">
        <v>1</v>
      </c>
      <c r="D34" s="1570" t="s">
        <v>61</v>
      </c>
      <c r="E34" s="390">
        <v>170</v>
      </c>
      <c r="F34" s="1783"/>
      <c r="G34" s="1783"/>
    </row>
    <row r="35" spans="1:13">
      <c r="A35" s="1927"/>
      <c r="B35" s="1928"/>
      <c r="C35" s="1927"/>
      <c r="D35" s="1570" t="s">
        <v>58</v>
      </c>
      <c r="E35" s="390">
        <v>140</v>
      </c>
      <c r="F35" s="1784"/>
      <c r="G35" s="1784"/>
    </row>
    <row r="36" spans="1:13">
      <c r="A36" s="1927"/>
      <c r="B36" s="1928"/>
      <c r="C36" s="1927"/>
      <c r="D36" s="1570" t="s">
        <v>60</v>
      </c>
      <c r="E36" s="390">
        <v>120</v>
      </c>
      <c r="F36" s="1784"/>
      <c r="G36" s="1785">
        <v>0</v>
      </c>
    </row>
    <row r="37" spans="1:13">
      <c r="A37" s="1927"/>
      <c r="B37" s="1928"/>
      <c r="C37" s="1927">
        <v>2</v>
      </c>
      <c r="D37" s="1570" t="s">
        <v>58</v>
      </c>
      <c r="E37" s="390">
        <v>180</v>
      </c>
      <c r="F37" s="1784"/>
      <c r="G37" s="1785">
        <v>0</v>
      </c>
    </row>
    <row r="38" spans="1:13">
      <c r="A38" s="1927"/>
      <c r="B38" s="1928"/>
      <c r="C38" s="1927"/>
      <c r="D38" s="1570" t="s">
        <v>60</v>
      </c>
      <c r="E38" s="390">
        <v>150</v>
      </c>
      <c r="F38" s="1784"/>
      <c r="G38" s="1784"/>
    </row>
    <row r="39" spans="1:13">
      <c r="A39" s="1927"/>
      <c r="B39" s="1929" t="s">
        <v>64</v>
      </c>
      <c r="C39" s="1924" t="s">
        <v>46</v>
      </c>
      <c r="D39" s="390" t="s">
        <v>61</v>
      </c>
      <c r="E39" s="390">
        <v>160</v>
      </c>
      <c r="F39" s="1784"/>
      <c r="G39" s="1784"/>
    </row>
    <row r="40" spans="1:13" ht="26.4">
      <c r="A40" s="1927"/>
      <c r="B40" s="1929"/>
      <c r="C40" s="1924"/>
      <c r="D40" s="399" t="s">
        <v>65</v>
      </c>
      <c r="E40" s="390">
        <v>140</v>
      </c>
      <c r="F40" s="1784"/>
      <c r="G40" s="1788">
        <v>0</v>
      </c>
    </row>
    <row r="41" spans="1:13" ht="26.4">
      <c r="A41" s="1927"/>
      <c r="B41" s="1929"/>
      <c r="C41" s="1924"/>
      <c r="D41" s="399" t="s">
        <v>66</v>
      </c>
      <c r="E41" s="390">
        <v>110</v>
      </c>
      <c r="F41" s="1829">
        <v>5.2359999999999998</v>
      </c>
      <c r="G41" s="1788">
        <v>5.7595999999999989</v>
      </c>
      <c r="J41" s="1581" t="s">
        <v>929</v>
      </c>
      <c r="K41" s="98"/>
      <c r="L41" s="98"/>
      <c r="M41" s="98"/>
    </row>
    <row r="42" spans="1:13">
      <c r="A42" s="1930" t="s">
        <v>63</v>
      </c>
      <c r="B42" s="396" t="s">
        <v>67</v>
      </c>
      <c r="C42" s="388" t="s">
        <v>46</v>
      </c>
      <c r="D42" s="388" t="s">
        <v>46</v>
      </c>
      <c r="E42" s="390">
        <v>470</v>
      </c>
      <c r="F42" s="1784"/>
      <c r="G42" s="390"/>
      <c r="J42" s="1581"/>
      <c r="K42" s="98"/>
      <c r="L42" s="98"/>
      <c r="M42" s="98"/>
    </row>
    <row r="43" spans="1:13">
      <c r="A43" s="1930"/>
      <c r="B43" s="401" t="s">
        <v>68</v>
      </c>
      <c r="C43" s="402" t="s">
        <v>46</v>
      </c>
      <c r="D43" s="402" t="s">
        <v>46</v>
      </c>
      <c r="E43" s="393">
        <v>350</v>
      </c>
      <c r="F43" s="1830">
        <v>19.184999999999999</v>
      </c>
      <c r="G43" s="400">
        <v>67.147499999999994</v>
      </c>
      <c r="J43" s="1581"/>
      <c r="K43" s="98">
        <v>4320.2</v>
      </c>
      <c r="L43" s="98"/>
      <c r="M43" s="98"/>
    </row>
    <row r="44" spans="1:13">
      <c r="A44" s="1931" t="s">
        <v>69</v>
      </c>
      <c r="B44" s="1931"/>
      <c r="C44" s="1931"/>
      <c r="D44" s="1931"/>
      <c r="E44" s="1931"/>
      <c r="F44" s="1801"/>
      <c r="G44" s="400">
        <v>72.907099999999986</v>
      </c>
      <c r="H44" s="27"/>
      <c r="J44" s="1581"/>
      <c r="K44" s="98"/>
      <c r="L44" s="98"/>
      <c r="M44" s="98"/>
    </row>
    <row r="45" spans="1:13">
      <c r="A45" s="1927" t="s">
        <v>57</v>
      </c>
      <c r="B45" s="1932" t="s">
        <v>70</v>
      </c>
      <c r="C45" s="1927" t="s">
        <v>46</v>
      </c>
      <c r="D45" s="390" t="s">
        <v>61</v>
      </c>
      <c r="E45" s="390">
        <v>260</v>
      </c>
      <c r="F45" s="1784"/>
      <c r="G45" s="390"/>
      <c r="J45" s="1581"/>
      <c r="K45" s="98"/>
      <c r="L45" s="98"/>
      <c r="M45" s="98"/>
    </row>
    <row r="46" spans="1:13" ht="26.4">
      <c r="A46" s="1927"/>
      <c r="B46" s="1932"/>
      <c r="C46" s="1927"/>
      <c r="D46" s="399" t="s">
        <v>65</v>
      </c>
      <c r="E46" s="390">
        <v>220</v>
      </c>
      <c r="F46" s="1784"/>
      <c r="G46" s="400">
        <v>0</v>
      </c>
      <c r="J46" s="1581"/>
      <c r="K46" s="98"/>
      <c r="L46" s="98"/>
      <c r="M46" s="98"/>
    </row>
    <row r="47" spans="1:13" ht="26.4">
      <c r="A47" s="1927"/>
      <c r="B47" s="1932"/>
      <c r="C47" s="1927"/>
      <c r="D47" s="399" t="s">
        <v>66</v>
      </c>
      <c r="E47" s="390">
        <v>150</v>
      </c>
      <c r="F47" s="1831">
        <v>0.41099999999999998</v>
      </c>
      <c r="G47" s="400">
        <v>0.61649999999999994</v>
      </c>
      <c r="J47" s="1581" t="s">
        <v>929</v>
      </c>
      <c r="K47" s="98"/>
      <c r="L47" s="98"/>
      <c r="M47" s="98"/>
    </row>
    <row r="48" spans="1:13">
      <c r="A48" s="1570" t="s">
        <v>63</v>
      </c>
      <c r="B48" s="398" t="s">
        <v>71</v>
      </c>
      <c r="C48" s="388" t="s">
        <v>46</v>
      </c>
      <c r="D48" s="388" t="s">
        <v>46</v>
      </c>
      <c r="E48" s="390">
        <v>270</v>
      </c>
      <c r="F48" s="1832">
        <v>11.276</v>
      </c>
      <c r="G48" s="400">
        <v>30.4452</v>
      </c>
      <c r="K48" s="98"/>
      <c r="L48" s="98"/>
      <c r="M48" s="98"/>
    </row>
    <row r="49" spans="1:12">
      <c r="A49" s="1926" t="s">
        <v>72</v>
      </c>
      <c r="B49" s="1926"/>
      <c r="C49" s="1926"/>
      <c r="D49" s="1926"/>
      <c r="E49" s="1926"/>
      <c r="F49" s="1926"/>
      <c r="G49" s="400">
        <v>31.061699999999998</v>
      </c>
      <c r="J49" s="1583">
        <v>104.23879999999998</v>
      </c>
      <c r="K49" s="54"/>
      <c r="L49" s="1583"/>
    </row>
    <row r="50" spans="1:12">
      <c r="A50" s="20"/>
      <c r="B50" s="21"/>
      <c r="C50" s="20"/>
      <c r="D50" s="1"/>
      <c r="E50" s="1"/>
      <c r="F50" s="1"/>
      <c r="G50" s="1"/>
      <c r="J50" s="32"/>
      <c r="K50" s="32"/>
      <c r="L50" s="32"/>
    </row>
    <row r="51" spans="1:12" ht="9.75" customHeight="1"/>
    <row r="52" spans="1:12" s="623" customFormat="1" ht="23.25" customHeight="1">
      <c r="A52" s="685" t="s">
        <v>632</v>
      </c>
      <c r="B52" s="621"/>
      <c r="C52" s="622"/>
      <c r="H52" s="1565"/>
    </row>
    <row r="53" spans="1:12" s="623" customFormat="1" ht="15" customHeight="1">
      <c r="A53" s="685" t="s">
        <v>662</v>
      </c>
      <c r="B53" s="625"/>
      <c r="C53" s="622"/>
      <c r="G53" s="626" t="s">
        <v>1360</v>
      </c>
    </row>
    <row r="54" spans="1:12" s="22" customFormat="1">
      <c r="F54" s="23"/>
    </row>
    <row r="55" spans="1:12" s="22" customFormat="1">
      <c r="A55" s="43"/>
      <c r="F55" s="23"/>
    </row>
    <row r="56" spans="1:12" s="22" customFormat="1">
      <c r="A56" s="43"/>
      <c r="F56" s="23"/>
    </row>
  </sheetData>
  <mergeCells count="30">
    <mergeCell ref="A49:F49"/>
    <mergeCell ref="A31:A32"/>
    <mergeCell ref="A33:E33"/>
    <mergeCell ref="A34:A41"/>
    <mergeCell ref="B34:B38"/>
    <mergeCell ref="C34:C36"/>
    <mergeCell ref="C37:C38"/>
    <mergeCell ref="B39:B41"/>
    <mergeCell ref="C39:C41"/>
    <mergeCell ref="A42:A43"/>
    <mergeCell ref="A44:E44"/>
    <mergeCell ref="A45:A47"/>
    <mergeCell ref="B45:B47"/>
    <mergeCell ref="C45:C47"/>
    <mergeCell ref="A10:A11"/>
    <mergeCell ref="B10:B11"/>
    <mergeCell ref="C10:C11"/>
    <mergeCell ref="D10:D11"/>
    <mergeCell ref="A13:A30"/>
    <mergeCell ref="B15:B16"/>
    <mergeCell ref="C15:C16"/>
    <mergeCell ref="B17:B20"/>
    <mergeCell ref="C17:C18"/>
    <mergeCell ref="C19:C20"/>
    <mergeCell ref="B21:B25"/>
    <mergeCell ref="C21:C23"/>
    <mergeCell ref="C24:C25"/>
    <mergeCell ref="B26:B30"/>
    <mergeCell ref="C26:C28"/>
    <mergeCell ref="C29:C30"/>
  </mergeCells>
  <phoneticPr fontId="0" type="noConversion"/>
  <printOptions horizontalCentered="1"/>
  <pageMargins left="0.78740157480314965" right="0.78740157480314965" top="0.78740157480314965" bottom="0.11811023622047245" header="0.51181102362204722" footer="3.937007874015748E-2"/>
  <pageSetup paperSize="9" scale="90" orientation="portrait" r:id="rId1"/>
  <headerFooter alignWithMargins="0"/>
  <colBreaks count="1" manualBreakCount="1">
    <brk id="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CCFF66"/>
  </sheetPr>
  <dimension ref="A1:L71"/>
  <sheetViews>
    <sheetView zoomScaleNormal="100" workbookViewId="0">
      <pane xSplit="3" ySplit="7" topLeftCell="D32" activePane="bottomRight" state="frozenSplit"/>
      <selection activeCell="E6" sqref="A1:XFD1048576"/>
      <selection pane="topRight" activeCell="E6" sqref="A1:XFD1048576"/>
      <selection pane="bottomLeft" activeCell="E6" sqref="A1:XFD1048576"/>
      <selection pane="bottomRight" activeCell="E6" sqref="A1:XFD1048576"/>
    </sheetView>
  </sheetViews>
  <sheetFormatPr defaultRowHeight="13.2"/>
  <cols>
    <col min="1" max="1" width="9.109375" style="4"/>
    <col min="2" max="2" width="18" style="4" customWidth="1"/>
    <col min="3" max="3" width="12.88671875" style="4" customWidth="1"/>
    <col min="4" max="4" width="12.33203125" style="4" customWidth="1"/>
    <col min="5" max="5" width="11" style="4" customWidth="1"/>
    <col min="6" max="6" width="10.5546875" style="4" customWidth="1"/>
    <col min="7" max="8" width="9.109375" style="4"/>
    <col min="9" max="14" width="0" style="4" hidden="1" customWidth="1"/>
    <col min="15" max="257" width="9.109375" style="4"/>
    <col min="258" max="258" width="18" style="4" customWidth="1"/>
    <col min="259" max="259" width="12.88671875" style="4" customWidth="1"/>
    <col min="260" max="260" width="12.33203125" style="4" customWidth="1"/>
    <col min="261" max="261" width="11" style="4" customWidth="1"/>
    <col min="262" max="262" width="10.5546875" style="4" customWidth="1"/>
    <col min="263" max="513" width="9.109375" style="4"/>
    <col min="514" max="514" width="18" style="4" customWidth="1"/>
    <col min="515" max="515" width="12.88671875" style="4" customWidth="1"/>
    <col min="516" max="516" width="12.33203125" style="4" customWidth="1"/>
    <col min="517" max="517" width="11" style="4" customWidth="1"/>
    <col min="518" max="518" width="10.5546875" style="4" customWidth="1"/>
    <col min="519" max="769" width="9.109375" style="4"/>
    <col min="770" max="770" width="18" style="4" customWidth="1"/>
    <col min="771" max="771" width="12.88671875" style="4" customWidth="1"/>
    <col min="772" max="772" width="12.33203125" style="4" customWidth="1"/>
    <col min="773" max="773" width="11" style="4" customWidth="1"/>
    <col min="774" max="774" width="10.5546875" style="4" customWidth="1"/>
    <col min="775" max="1025" width="9.109375" style="4"/>
    <col min="1026" max="1026" width="18" style="4" customWidth="1"/>
    <col min="1027" max="1027" width="12.88671875" style="4" customWidth="1"/>
    <col min="1028" max="1028" width="12.33203125" style="4" customWidth="1"/>
    <col min="1029" max="1029" width="11" style="4" customWidth="1"/>
    <col min="1030" max="1030" width="10.5546875" style="4" customWidth="1"/>
    <col min="1031" max="1281" width="9.109375" style="4"/>
    <col min="1282" max="1282" width="18" style="4" customWidth="1"/>
    <col min="1283" max="1283" width="12.88671875" style="4" customWidth="1"/>
    <col min="1284" max="1284" width="12.33203125" style="4" customWidth="1"/>
    <col min="1285" max="1285" width="11" style="4" customWidth="1"/>
    <col min="1286" max="1286" width="10.5546875" style="4" customWidth="1"/>
    <col min="1287" max="1537" width="9.109375" style="4"/>
    <col min="1538" max="1538" width="18" style="4" customWidth="1"/>
    <col min="1539" max="1539" width="12.88671875" style="4" customWidth="1"/>
    <col min="1540" max="1540" width="12.33203125" style="4" customWidth="1"/>
    <col min="1541" max="1541" width="11" style="4" customWidth="1"/>
    <col min="1542" max="1542" width="10.5546875" style="4" customWidth="1"/>
    <col min="1543" max="1793" width="9.109375" style="4"/>
    <col min="1794" max="1794" width="18" style="4" customWidth="1"/>
    <col min="1795" max="1795" width="12.88671875" style="4" customWidth="1"/>
    <col min="1796" max="1796" width="12.33203125" style="4" customWidth="1"/>
    <col min="1797" max="1797" width="11" style="4" customWidth="1"/>
    <col min="1798" max="1798" width="10.5546875" style="4" customWidth="1"/>
    <col min="1799" max="2049" width="9.109375" style="4"/>
    <col min="2050" max="2050" width="18" style="4" customWidth="1"/>
    <col min="2051" max="2051" width="12.88671875" style="4" customWidth="1"/>
    <col min="2052" max="2052" width="12.33203125" style="4" customWidth="1"/>
    <col min="2053" max="2053" width="11" style="4" customWidth="1"/>
    <col min="2054" max="2054" width="10.5546875" style="4" customWidth="1"/>
    <col min="2055" max="2305" width="9.109375" style="4"/>
    <col min="2306" max="2306" width="18" style="4" customWidth="1"/>
    <col min="2307" max="2307" width="12.88671875" style="4" customWidth="1"/>
    <col min="2308" max="2308" width="12.33203125" style="4" customWidth="1"/>
    <col min="2309" max="2309" width="11" style="4" customWidth="1"/>
    <col min="2310" max="2310" width="10.5546875" style="4" customWidth="1"/>
    <col min="2311" max="2561" width="9.109375" style="4"/>
    <col min="2562" max="2562" width="18" style="4" customWidth="1"/>
    <col min="2563" max="2563" width="12.88671875" style="4" customWidth="1"/>
    <col min="2564" max="2564" width="12.33203125" style="4" customWidth="1"/>
    <col min="2565" max="2565" width="11" style="4" customWidth="1"/>
    <col min="2566" max="2566" width="10.5546875" style="4" customWidth="1"/>
    <col min="2567" max="2817" width="9.109375" style="4"/>
    <col min="2818" max="2818" width="18" style="4" customWidth="1"/>
    <col min="2819" max="2819" width="12.88671875" style="4" customWidth="1"/>
    <col min="2820" max="2820" width="12.33203125" style="4" customWidth="1"/>
    <col min="2821" max="2821" width="11" style="4" customWidth="1"/>
    <col min="2822" max="2822" width="10.5546875" style="4" customWidth="1"/>
    <col min="2823" max="3073" width="9.109375" style="4"/>
    <col min="3074" max="3074" width="18" style="4" customWidth="1"/>
    <col min="3075" max="3075" width="12.88671875" style="4" customWidth="1"/>
    <col min="3076" max="3076" width="12.33203125" style="4" customWidth="1"/>
    <col min="3077" max="3077" width="11" style="4" customWidth="1"/>
    <col min="3078" max="3078" width="10.5546875" style="4" customWidth="1"/>
    <col min="3079" max="3329" width="9.109375" style="4"/>
    <col min="3330" max="3330" width="18" style="4" customWidth="1"/>
    <col min="3331" max="3331" width="12.88671875" style="4" customWidth="1"/>
    <col min="3332" max="3332" width="12.33203125" style="4" customWidth="1"/>
    <col min="3333" max="3333" width="11" style="4" customWidth="1"/>
    <col min="3334" max="3334" width="10.5546875" style="4" customWidth="1"/>
    <col min="3335" max="3585" width="9.109375" style="4"/>
    <col min="3586" max="3586" width="18" style="4" customWidth="1"/>
    <col min="3587" max="3587" width="12.88671875" style="4" customWidth="1"/>
    <col min="3588" max="3588" width="12.33203125" style="4" customWidth="1"/>
    <col min="3589" max="3589" width="11" style="4" customWidth="1"/>
    <col min="3590" max="3590" width="10.5546875" style="4" customWidth="1"/>
    <col min="3591" max="3841" width="9.109375" style="4"/>
    <col min="3842" max="3842" width="18" style="4" customWidth="1"/>
    <col min="3843" max="3843" width="12.88671875" style="4" customWidth="1"/>
    <col min="3844" max="3844" width="12.33203125" style="4" customWidth="1"/>
    <col min="3845" max="3845" width="11" style="4" customWidth="1"/>
    <col min="3846" max="3846" width="10.5546875" style="4" customWidth="1"/>
    <col min="3847" max="4097" width="9.109375" style="4"/>
    <col min="4098" max="4098" width="18" style="4" customWidth="1"/>
    <col min="4099" max="4099" width="12.88671875" style="4" customWidth="1"/>
    <col min="4100" max="4100" width="12.33203125" style="4" customWidth="1"/>
    <col min="4101" max="4101" width="11" style="4" customWidth="1"/>
    <col min="4102" max="4102" width="10.5546875" style="4" customWidth="1"/>
    <col min="4103" max="4353" width="9.109375" style="4"/>
    <col min="4354" max="4354" width="18" style="4" customWidth="1"/>
    <col min="4355" max="4355" width="12.88671875" style="4" customWidth="1"/>
    <col min="4356" max="4356" width="12.33203125" style="4" customWidth="1"/>
    <col min="4357" max="4357" width="11" style="4" customWidth="1"/>
    <col min="4358" max="4358" width="10.5546875" style="4" customWidth="1"/>
    <col min="4359" max="4609" width="9.109375" style="4"/>
    <col min="4610" max="4610" width="18" style="4" customWidth="1"/>
    <col min="4611" max="4611" width="12.88671875" style="4" customWidth="1"/>
    <col min="4612" max="4612" width="12.33203125" style="4" customWidth="1"/>
    <col min="4613" max="4613" width="11" style="4" customWidth="1"/>
    <col min="4614" max="4614" width="10.5546875" style="4" customWidth="1"/>
    <col min="4615" max="4865" width="9.109375" style="4"/>
    <col min="4866" max="4866" width="18" style="4" customWidth="1"/>
    <col min="4867" max="4867" width="12.88671875" style="4" customWidth="1"/>
    <col min="4868" max="4868" width="12.33203125" style="4" customWidth="1"/>
    <col min="4869" max="4869" width="11" style="4" customWidth="1"/>
    <col min="4870" max="4870" width="10.5546875" style="4" customWidth="1"/>
    <col min="4871" max="5121" width="9.109375" style="4"/>
    <col min="5122" max="5122" width="18" style="4" customWidth="1"/>
    <col min="5123" max="5123" width="12.88671875" style="4" customWidth="1"/>
    <col min="5124" max="5124" width="12.33203125" style="4" customWidth="1"/>
    <col min="5125" max="5125" width="11" style="4" customWidth="1"/>
    <col min="5126" max="5126" width="10.5546875" style="4" customWidth="1"/>
    <col min="5127" max="5377" width="9.109375" style="4"/>
    <col min="5378" max="5378" width="18" style="4" customWidth="1"/>
    <col min="5379" max="5379" width="12.88671875" style="4" customWidth="1"/>
    <col min="5380" max="5380" width="12.33203125" style="4" customWidth="1"/>
    <col min="5381" max="5381" width="11" style="4" customWidth="1"/>
    <col min="5382" max="5382" width="10.5546875" style="4" customWidth="1"/>
    <col min="5383" max="5633" width="9.109375" style="4"/>
    <col min="5634" max="5634" width="18" style="4" customWidth="1"/>
    <col min="5635" max="5635" width="12.88671875" style="4" customWidth="1"/>
    <col min="5636" max="5636" width="12.33203125" style="4" customWidth="1"/>
    <col min="5637" max="5637" width="11" style="4" customWidth="1"/>
    <col min="5638" max="5638" width="10.5546875" style="4" customWidth="1"/>
    <col min="5639" max="5889" width="9.109375" style="4"/>
    <col min="5890" max="5890" width="18" style="4" customWidth="1"/>
    <col min="5891" max="5891" width="12.88671875" style="4" customWidth="1"/>
    <col min="5892" max="5892" width="12.33203125" style="4" customWidth="1"/>
    <col min="5893" max="5893" width="11" style="4" customWidth="1"/>
    <col min="5894" max="5894" width="10.5546875" style="4" customWidth="1"/>
    <col min="5895" max="6145" width="9.109375" style="4"/>
    <col min="6146" max="6146" width="18" style="4" customWidth="1"/>
    <col min="6147" max="6147" width="12.88671875" style="4" customWidth="1"/>
    <col min="6148" max="6148" width="12.33203125" style="4" customWidth="1"/>
    <col min="6149" max="6149" width="11" style="4" customWidth="1"/>
    <col min="6150" max="6150" width="10.5546875" style="4" customWidth="1"/>
    <col min="6151" max="6401" width="9.109375" style="4"/>
    <col min="6402" max="6402" width="18" style="4" customWidth="1"/>
    <col min="6403" max="6403" width="12.88671875" style="4" customWidth="1"/>
    <col min="6404" max="6404" width="12.33203125" style="4" customWidth="1"/>
    <col min="6405" max="6405" width="11" style="4" customWidth="1"/>
    <col min="6406" max="6406" width="10.5546875" style="4" customWidth="1"/>
    <col min="6407" max="6657" width="9.109375" style="4"/>
    <col min="6658" max="6658" width="18" style="4" customWidth="1"/>
    <col min="6659" max="6659" width="12.88671875" style="4" customWidth="1"/>
    <col min="6660" max="6660" width="12.33203125" style="4" customWidth="1"/>
    <col min="6661" max="6661" width="11" style="4" customWidth="1"/>
    <col min="6662" max="6662" width="10.5546875" style="4" customWidth="1"/>
    <col min="6663" max="6913" width="9.109375" style="4"/>
    <col min="6914" max="6914" width="18" style="4" customWidth="1"/>
    <col min="6915" max="6915" width="12.88671875" style="4" customWidth="1"/>
    <col min="6916" max="6916" width="12.33203125" style="4" customWidth="1"/>
    <col min="6917" max="6917" width="11" style="4" customWidth="1"/>
    <col min="6918" max="6918" width="10.5546875" style="4" customWidth="1"/>
    <col min="6919" max="7169" width="9.109375" style="4"/>
    <col min="7170" max="7170" width="18" style="4" customWidth="1"/>
    <col min="7171" max="7171" width="12.88671875" style="4" customWidth="1"/>
    <col min="7172" max="7172" width="12.33203125" style="4" customWidth="1"/>
    <col min="7173" max="7173" width="11" style="4" customWidth="1"/>
    <col min="7174" max="7174" width="10.5546875" style="4" customWidth="1"/>
    <col min="7175" max="7425" width="9.109375" style="4"/>
    <col min="7426" max="7426" width="18" style="4" customWidth="1"/>
    <col min="7427" max="7427" width="12.88671875" style="4" customWidth="1"/>
    <col min="7428" max="7428" width="12.33203125" style="4" customWidth="1"/>
    <col min="7429" max="7429" width="11" style="4" customWidth="1"/>
    <col min="7430" max="7430" width="10.5546875" style="4" customWidth="1"/>
    <col min="7431" max="7681" width="9.109375" style="4"/>
    <col min="7682" max="7682" width="18" style="4" customWidth="1"/>
    <col min="7683" max="7683" width="12.88671875" style="4" customWidth="1"/>
    <col min="7684" max="7684" width="12.33203125" style="4" customWidth="1"/>
    <col min="7685" max="7685" width="11" style="4" customWidth="1"/>
    <col min="7686" max="7686" width="10.5546875" style="4" customWidth="1"/>
    <col min="7687" max="7937" width="9.109375" style="4"/>
    <col min="7938" max="7938" width="18" style="4" customWidth="1"/>
    <col min="7939" max="7939" width="12.88671875" style="4" customWidth="1"/>
    <col min="7940" max="7940" width="12.33203125" style="4" customWidth="1"/>
    <col min="7941" max="7941" width="11" style="4" customWidth="1"/>
    <col min="7942" max="7942" width="10.5546875" style="4" customWidth="1"/>
    <col min="7943" max="8193" width="9.109375" style="4"/>
    <col min="8194" max="8194" width="18" style="4" customWidth="1"/>
    <col min="8195" max="8195" width="12.88671875" style="4" customWidth="1"/>
    <col min="8196" max="8196" width="12.33203125" style="4" customWidth="1"/>
    <col min="8197" max="8197" width="11" style="4" customWidth="1"/>
    <col min="8198" max="8198" width="10.5546875" style="4" customWidth="1"/>
    <col min="8199" max="8449" width="9.109375" style="4"/>
    <col min="8450" max="8450" width="18" style="4" customWidth="1"/>
    <col min="8451" max="8451" width="12.88671875" style="4" customWidth="1"/>
    <col min="8452" max="8452" width="12.33203125" style="4" customWidth="1"/>
    <col min="8453" max="8453" width="11" style="4" customWidth="1"/>
    <col min="8454" max="8454" width="10.5546875" style="4" customWidth="1"/>
    <col min="8455" max="8705" width="9.109375" style="4"/>
    <col min="8706" max="8706" width="18" style="4" customWidth="1"/>
    <col min="8707" max="8707" width="12.88671875" style="4" customWidth="1"/>
    <col min="8708" max="8708" width="12.33203125" style="4" customWidth="1"/>
    <col min="8709" max="8709" width="11" style="4" customWidth="1"/>
    <col min="8710" max="8710" width="10.5546875" style="4" customWidth="1"/>
    <col min="8711" max="8961" width="9.109375" style="4"/>
    <col min="8962" max="8962" width="18" style="4" customWidth="1"/>
    <col min="8963" max="8963" width="12.88671875" style="4" customWidth="1"/>
    <col min="8964" max="8964" width="12.33203125" style="4" customWidth="1"/>
    <col min="8965" max="8965" width="11" style="4" customWidth="1"/>
    <col min="8966" max="8966" width="10.5546875" style="4" customWidth="1"/>
    <col min="8967" max="9217" width="9.109375" style="4"/>
    <col min="9218" max="9218" width="18" style="4" customWidth="1"/>
    <col min="9219" max="9219" width="12.88671875" style="4" customWidth="1"/>
    <col min="9220" max="9220" width="12.33203125" style="4" customWidth="1"/>
    <col min="9221" max="9221" width="11" style="4" customWidth="1"/>
    <col min="9222" max="9222" width="10.5546875" style="4" customWidth="1"/>
    <col min="9223" max="9473" width="9.109375" style="4"/>
    <col min="9474" max="9474" width="18" style="4" customWidth="1"/>
    <col min="9475" max="9475" width="12.88671875" style="4" customWidth="1"/>
    <col min="9476" max="9476" width="12.33203125" style="4" customWidth="1"/>
    <col min="9477" max="9477" width="11" style="4" customWidth="1"/>
    <col min="9478" max="9478" width="10.5546875" style="4" customWidth="1"/>
    <col min="9479" max="9729" width="9.109375" style="4"/>
    <col min="9730" max="9730" width="18" style="4" customWidth="1"/>
    <col min="9731" max="9731" width="12.88671875" style="4" customWidth="1"/>
    <col min="9732" max="9732" width="12.33203125" style="4" customWidth="1"/>
    <col min="9733" max="9733" width="11" style="4" customWidth="1"/>
    <col min="9734" max="9734" width="10.5546875" style="4" customWidth="1"/>
    <col min="9735" max="9985" width="9.109375" style="4"/>
    <col min="9986" max="9986" width="18" style="4" customWidth="1"/>
    <col min="9987" max="9987" width="12.88671875" style="4" customWidth="1"/>
    <col min="9988" max="9988" width="12.33203125" style="4" customWidth="1"/>
    <col min="9989" max="9989" width="11" style="4" customWidth="1"/>
    <col min="9990" max="9990" width="10.5546875" style="4" customWidth="1"/>
    <col min="9991" max="10241" width="9.109375" style="4"/>
    <col min="10242" max="10242" width="18" style="4" customWidth="1"/>
    <col min="10243" max="10243" width="12.88671875" style="4" customWidth="1"/>
    <col min="10244" max="10244" width="12.33203125" style="4" customWidth="1"/>
    <col min="10245" max="10245" width="11" style="4" customWidth="1"/>
    <col min="10246" max="10246" width="10.5546875" style="4" customWidth="1"/>
    <col min="10247" max="10497" width="9.109375" style="4"/>
    <col min="10498" max="10498" width="18" style="4" customWidth="1"/>
    <col min="10499" max="10499" width="12.88671875" style="4" customWidth="1"/>
    <col min="10500" max="10500" width="12.33203125" style="4" customWidth="1"/>
    <col min="10501" max="10501" width="11" style="4" customWidth="1"/>
    <col min="10502" max="10502" width="10.5546875" style="4" customWidth="1"/>
    <col min="10503" max="10753" width="9.109375" style="4"/>
    <col min="10754" max="10754" width="18" style="4" customWidth="1"/>
    <col min="10755" max="10755" width="12.88671875" style="4" customWidth="1"/>
    <col min="10756" max="10756" width="12.33203125" style="4" customWidth="1"/>
    <col min="10757" max="10757" width="11" style="4" customWidth="1"/>
    <col min="10758" max="10758" width="10.5546875" style="4" customWidth="1"/>
    <col min="10759" max="11009" width="9.109375" style="4"/>
    <col min="11010" max="11010" width="18" style="4" customWidth="1"/>
    <col min="11011" max="11011" width="12.88671875" style="4" customWidth="1"/>
    <col min="11012" max="11012" width="12.33203125" style="4" customWidth="1"/>
    <col min="11013" max="11013" width="11" style="4" customWidth="1"/>
    <col min="11014" max="11014" width="10.5546875" style="4" customWidth="1"/>
    <col min="11015" max="11265" width="9.109375" style="4"/>
    <col min="11266" max="11266" width="18" style="4" customWidth="1"/>
    <col min="11267" max="11267" width="12.88671875" style="4" customWidth="1"/>
    <col min="11268" max="11268" width="12.33203125" style="4" customWidth="1"/>
    <col min="11269" max="11269" width="11" style="4" customWidth="1"/>
    <col min="11270" max="11270" width="10.5546875" style="4" customWidth="1"/>
    <col min="11271" max="11521" width="9.109375" style="4"/>
    <col min="11522" max="11522" width="18" style="4" customWidth="1"/>
    <col min="11523" max="11523" width="12.88671875" style="4" customWidth="1"/>
    <col min="11524" max="11524" width="12.33203125" style="4" customWidth="1"/>
    <col min="11525" max="11525" width="11" style="4" customWidth="1"/>
    <col min="11526" max="11526" width="10.5546875" style="4" customWidth="1"/>
    <col min="11527" max="11777" width="9.109375" style="4"/>
    <col min="11778" max="11778" width="18" style="4" customWidth="1"/>
    <col min="11779" max="11779" width="12.88671875" style="4" customWidth="1"/>
    <col min="11780" max="11780" width="12.33203125" style="4" customWidth="1"/>
    <col min="11781" max="11781" width="11" style="4" customWidth="1"/>
    <col min="11782" max="11782" width="10.5546875" style="4" customWidth="1"/>
    <col min="11783" max="12033" width="9.109375" style="4"/>
    <col min="12034" max="12034" width="18" style="4" customWidth="1"/>
    <col min="12035" max="12035" width="12.88671875" style="4" customWidth="1"/>
    <col min="12036" max="12036" width="12.33203125" style="4" customWidth="1"/>
    <col min="12037" max="12037" width="11" style="4" customWidth="1"/>
    <col min="12038" max="12038" width="10.5546875" style="4" customWidth="1"/>
    <col min="12039" max="12289" width="9.109375" style="4"/>
    <col min="12290" max="12290" width="18" style="4" customWidth="1"/>
    <col min="12291" max="12291" width="12.88671875" style="4" customWidth="1"/>
    <col min="12292" max="12292" width="12.33203125" style="4" customWidth="1"/>
    <col min="12293" max="12293" width="11" style="4" customWidth="1"/>
    <col min="12294" max="12294" width="10.5546875" style="4" customWidth="1"/>
    <col min="12295" max="12545" width="9.109375" style="4"/>
    <col min="12546" max="12546" width="18" style="4" customWidth="1"/>
    <col min="12547" max="12547" width="12.88671875" style="4" customWidth="1"/>
    <col min="12548" max="12548" width="12.33203125" style="4" customWidth="1"/>
    <col min="12549" max="12549" width="11" style="4" customWidth="1"/>
    <col min="12550" max="12550" width="10.5546875" style="4" customWidth="1"/>
    <col min="12551" max="12801" width="9.109375" style="4"/>
    <col min="12802" max="12802" width="18" style="4" customWidth="1"/>
    <col min="12803" max="12803" width="12.88671875" style="4" customWidth="1"/>
    <col min="12804" max="12804" width="12.33203125" style="4" customWidth="1"/>
    <col min="12805" max="12805" width="11" style="4" customWidth="1"/>
    <col min="12806" max="12806" width="10.5546875" style="4" customWidth="1"/>
    <col min="12807" max="13057" width="9.109375" style="4"/>
    <col min="13058" max="13058" width="18" style="4" customWidth="1"/>
    <col min="13059" max="13059" width="12.88671875" style="4" customWidth="1"/>
    <col min="13060" max="13060" width="12.33203125" style="4" customWidth="1"/>
    <col min="13061" max="13061" width="11" style="4" customWidth="1"/>
    <col min="13062" max="13062" width="10.5546875" style="4" customWidth="1"/>
    <col min="13063" max="13313" width="9.109375" style="4"/>
    <col min="13314" max="13314" width="18" style="4" customWidth="1"/>
    <col min="13315" max="13315" width="12.88671875" style="4" customWidth="1"/>
    <col min="13316" max="13316" width="12.33203125" style="4" customWidth="1"/>
    <col min="13317" max="13317" width="11" style="4" customWidth="1"/>
    <col min="13318" max="13318" width="10.5546875" style="4" customWidth="1"/>
    <col min="13319" max="13569" width="9.109375" style="4"/>
    <col min="13570" max="13570" width="18" style="4" customWidth="1"/>
    <col min="13571" max="13571" width="12.88671875" style="4" customWidth="1"/>
    <col min="13572" max="13572" width="12.33203125" style="4" customWidth="1"/>
    <col min="13573" max="13573" width="11" style="4" customWidth="1"/>
    <col min="13574" max="13574" width="10.5546875" style="4" customWidth="1"/>
    <col min="13575" max="13825" width="9.109375" style="4"/>
    <col min="13826" max="13826" width="18" style="4" customWidth="1"/>
    <col min="13827" max="13827" width="12.88671875" style="4" customWidth="1"/>
    <col min="13828" max="13828" width="12.33203125" style="4" customWidth="1"/>
    <col min="13829" max="13829" width="11" style="4" customWidth="1"/>
    <col min="13830" max="13830" width="10.5546875" style="4" customWidth="1"/>
    <col min="13831" max="14081" width="9.109375" style="4"/>
    <col min="14082" max="14082" width="18" style="4" customWidth="1"/>
    <col min="14083" max="14083" width="12.88671875" style="4" customWidth="1"/>
    <col min="14084" max="14084" width="12.33203125" style="4" customWidth="1"/>
    <col min="14085" max="14085" width="11" style="4" customWidth="1"/>
    <col min="14086" max="14086" width="10.5546875" style="4" customWidth="1"/>
    <col min="14087" max="14337" width="9.109375" style="4"/>
    <col min="14338" max="14338" width="18" style="4" customWidth="1"/>
    <col min="14339" max="14339" width="12.88671875" style="4" customWidth="1"/>
    <col min="14340" max="14340" width="12.33203125" style="4" customWidth="1"/>
    <col min="14341" max="14341" width="11" style="4" customWidth="1"/>
    <col min="14342" max="14342" width="10.5546875" style="4" customWidth="1"/>
    <col min="14343" max="14593" width="9.109375" style="4"/>
    <col min="14594" max="14594" width="18" style="4" customWidth="1"/>
    <col min="14595" max="14595" width="12.88671875" style="4" customWidth="1"/>
    <col min="14596" max="14596" width="12.33203125" style="4" customWidth="1"/>
    <col min="14597" max="14597" width="11" style="4" customWidth="1"/>
    <col min="14598" max="14598" width="10.5546875" style="4" customWidth="1"/>
    <col min="14599" max="14849" width="9.109375" style="4"/>
    <col min="14850" max="14850" width="18" style="4" customWidth="1"/>
    <col min="14851" max="14851" width="12.88671875" style="4" customWidth="1"/>
    <col min="14852" max="14852" width="12.33203125" style="4" customWidth="1"/>
    <col min="14853" max="14853" width="11" style="4" customWidth="1"/>
    <col min="14854" max="14854" width="10.5546875" style="4" customWidth="1"/>
    <col min="14855" max="15105" width="9.109375" style="4"/>
    <col min="15106" max="15106" width="18" style="4" customWidth="1"/>
    <col min="15107" max="15107" width="12.88671875" style="4" customWidth="1"/>
    <col min="15108" max="15108" width="12.33203125" style="4" customWidth="1"/>
    <col min="15109" max="15109" width="11" style="4" customWidth="1"/>
    <col min="15110" max="15110" width="10.5546875" style="4" customWidth="1"/>
    <col min="15111" max="15361" width="9.109375" style="4"/>
    <col min="15362" max="15362" width="18" style="4" customWidth="1"/>
    <col min="15363" max="15363" width="12.88671875" style="4" customWidth="1"/>
    <col min="15364" max="15364" width="12.33203125" style="4" customWidth="1"/>
    <col min="15365" max="15365" width="11" style="4" customWidth="1"/>
    <col min="15366" max="15366" width="10.5546875" style="4" customWidth="1"/>
    <col min="15367" max="15617" width="9.109375" style="4"/>
    <col min="15618" max="15618" width="18" style="4" customWidth="1"/>
    <col min="15619" max="15619" width="12.88671875" style="4" customWidth="1"/>
    <col min="15620" max="15620" width="12.33203125" style="4" customWidth="1"/>
    <col min="15621" max="15621" width="11" style="4" customWidth="1"/>
    <col min="15622" max="15622" width="10.5546875" style="4" customWidth="1"/>
    <col min="15623" max="15873" width="9.109375" style="4"/>
    <col min="15874" max="15874" width="18" style="4" customWidth="1"/>
    <col min="15875" max="15875" width="12.88671875" style="4" customWidth="1"/>
    <col min="15876" max="15876" width="12.33203125" style="4" customWidth="1"/>
    <col min="15877" max="15877" width="11" style="4" customWidth="1"/>
    <col min="15878" max="15878" width="10.5546875" style="4" customWidth="1"/>
    <col min="15879" max="16129" width="9.109375" style="4"/>
    <col min="16130" max="16130" width="18" style="4" customWidth="1"/>
    <col min="16131" max="16131" width="12.88671875" style="4" customWidth="1"/>
    <col min="16132" max="16132" width="12.33203125" style="4" customWidth="1"/>
    <col min="16133" max="16133" width="11" style="4" customWidth="1"/>
    <col min="16134" max="16134" width="10.5546875" style="4" customWidth="1"/>
    <col min="16135" max="16384" width="9.109375" style="4"/>
  </cols>
  <sheetData>
    <row r="1" spans="1:12">
      <c r="G1" s="1578" t="s">
        <v>73</v>
      </c>
    </row>
    <row r="2" spans="1:12" ht="33.75" customHeight="1">
      <c r="A2" s="45" t="s">
        <v>180</v>
      </c>
      <c r="B2" s="45"/>
      <c r="C2" s="45"/>
      <c r="D2" s="45"/>
      <c r="E2" s="45"/>
      <c r="F2" s="45"/>
      <c r="G2" s="45"/>
    </row>
    <row r="3" spans="1:12" ht="14.25" customHeight="1">
      <c r="A3" s="55" t="s">
        <v>1315</v>
      </c>
      <c r="B3" s="45"/>
      <c r="C3" s="45"/>
      <c r="D3" s="45"/>
      <c r="E3" s="45"/>
      <c r="F3" s="45"/>
      <c r="G3" s="45"/>
    </row>
    <row r="4" spans="1:12" ht="14.25" customHeight="1">
      <c r="A4" s="1561" t="s">
        <v>1271</v>
      </c>
      <c r="B4" s="1666"/>
      <c r="C4" s="1666"/>
      <c r="D4" s="1666"/>
      <c r="E4" s="1666"/>
      <c r="F4" s="1666"/>
      <c r="G4" s="1659" t="s">
        <v>1311</v>
      </c>
    </row>
    <row r="5" spans="1:12" ht="66">
      <c r="A5" s="1920" t="s">
        <v>2</v>
      </c>
      <c r="B5" s="1920" t="s">
        <v>19</v>
      </c>
      <c r="C5" s="1920" t="s">
        <v>74</v>
      </c>
      <c r="D5" s="1920" t="s">
        <v>48</v>
      </c>
      <c r="E5" s="1571" t="s">
        <v>75</v>
      </c>
      <c r="F5" s="1571" t="s">
        <v>76</v>
      </c>
      <c r="G5" s="1571" t="s">
        <v>53</v>
      </c>
    </row>
    <row r="6" spans="1:12">
      <c r="A6" s="1921"/>
      <c r="B6" s="1921"/>
      <c r="C6" s="1921"/>
      <c r="D6" s="1937"/>
      <c r="E6" s="1571" t="s">
        <v>77</v>
      </c>
      <c r="F6" s="1571" t="s">
        <v>78</v>
      </c>
      <c r="G6" s="1571" t="s">
        <v>56</v>
      </c>
    </row>
    <row r="7" spans="1:12">
      <c r="A7" s="388">
        <v>1</v>
      </c>
      <c r="B7" s="388">
        <v>2</v>
      </c>
      <c r="C7" s="388">
        <v>3</v>
      </c>
      <c r="D7" s="388">
        <v>4</v>
      </c>
      <c r="E7" s="388">
        <v>5</v>
      </c>
      <c r="F7" s="388">
        <v>6</v>
      </c>
      <c r="G7" s="388" t="s">
        <v>79</v>
      </c>
    </row>
    <row r="8" spans="1:12">
      <c r="A8" s="1922">
        <v>1</v>
      </c>
      <c r="B8" s="1927" t="s">
        <v>80</v>
      </c>
      <c r="C8" s="1927" t="s">
        <v>81</v>
      </c>
      <c r="D8" s="393">
        <v>1150</v>
      </c>
      <c r="E8" s="1569">
        <v>1000</v>
      </c>
      <c r="F8" s="696"/>
      <c r="G8" s="1570"/>
    </row>
    <row r="9" spans="1:12">
      <c r="A9" s="1922"/>
      <c r="B9" s="1927"/>
      <c r="C9" s="1927"/>
      <c r="D9" s="393">
        <v>750</v>
      </c>
      <c r="E9" s="1569">
        <v>600</v>
      </c>
      <c r="F9" s="696"/>
      <c r="G9" s="1570"/>
    </row>
    <row r="10" spans="1:12">
      <c r="A10" s="1922"/>
      <c r="B10" s="1927"/>
      <c r="C10" s="1927"/>
      <c r="D10" s="1570" t="s">
        <v>82</v>
      </c>
      <c r="E10" s="1569">
        <v>500</v>
      </c>
      <c r="F10" s="696"/>
      <c r="G10" s="1570"/>
    </row>
    <row r="11" spans="1:12">
      <c r="A11" s="1922"/>
      <c r="B11" s="1927"/>
      <c r="C11" s="1927"/>
      <c r="D11" s="1570">
        <v>330</v>
      </c>
      <c r="E11" s="1569">
        <v>250</v>
      </c>
      <c r="F11" s="696"/>
      <c r="G11" s="1570"/>
      <c r="J11" s="4" t="s">
        <v>1310</v>
      </c>
      <c r="L11" s="4" t="s">
        <v>929</v>
      </c>
    </row>
    <row r="12" spans="1:12">
      <c r="A12" s="1922"/>
      <c r="B12" s="1927"/>
      <c r="C12" s="1927"/>
      <c r="D12" s="1570">
        <v>220</v>
      </c>
      <c r="E12" s="1569">
        <v>210</v>
      </c>
      <c r="F12" s="696">
        <v>1</v>
      </c>
      <c r="G12" s="403">
        <v>210</v>
      </c>
      <c r="I12" s="4">
        <v>1</v>
      </c>
      <c r="J12" s="4">
        <v>0</v>
      </c>
      <c r="K12" s="4">
        <v>0</v>
      </c>
      <c r="L12" s="4">
        <v>0</v>
      </c>
    </row>
    <row r="13" spans="1:12">
      <c r="A13" s="1922"/>
      <c r="B13" s="1927"/>
      <c r="C13" s="1927"/>
      <c r="D13" s="1570" t="s">
        <v>83</v>
      </c>
      <c r="E13" s="1569">
        <v>105</v>
      </c>
      <c r="F13" s="697"/>
      <c r="G13" s="403">
        <v>0</v>
      </c>
      <c r="J13" s="4">
        <v>0</v>
      </c>
      <c r="K13" s="4">
        <v>0</v>
      </c>
      <c r="L13" s="4">
        <v>0</v>
      </c>
    </row>
    <row r="14" spans="1:12">
      <c r="A14" s="1922"/>
      <c r="B14" s="1927"/>
      <c r="C14" s="1927"/>
      <c r="D14" s="1570">
        <v>35</v>
      </c>
      <c r="E14" s="1569">
        <v>75</v>
      </c>
      <c r="F14" s="698"/>
      <c r="G14" s="403">
        <v>0</v>
      </c>
      <c r="J14" s="4">
        <v>0</v>
      </c>
      <c r="K14" s="4">
        <v>0</v>
      </c>
      <c r="L14" s="4">
        <v>0</v>
      </c>
    </row>
    <row r="15" spans="1:12" ht="12.75" customHeight="1">
      <c r="A15" s="1922">
        <v>2</v>
      </c>
      <c r="B15" s="1936" t="s">
        <v>84</v>
      </c>
      <c r="C15" s="1927" t="s">
        <v>85</v>
      </c>
      <c r="D15" s="393">
        <v>1150</v>
      </c>
      <c r="E15" s="1569">
        <v>60</v>
      </c>
      <c r="F15" s="698"/>
      <c r="G15" s="403"/>
      <c r="J15" s="4">
        <v>0</v>
      </c>
      <c r="K15" s="4">
        <v>0</v>
      </c>
      <c r="L15" s="4">
        <v>0</v>
      </c>
    </row>
    <row r="16" spans="1:12">
      <c r="A16" s="1922"/>
      <c r="B16" s="1936"/>
      <c r="C16" s="1936"/>
      <c r="D16" s="393">
        <v>750</v>
      </c>
      <c r="E16" s="1569">
        <v>43</v>
      </c>
      <c r="F16" s="698"/>
      <c r="G16" s="403"/>
      <c r="J16" s="4">
        <v>0</v>
      </c>
      <c r="K16" s="4">
        <v>0</v>
      </c>
      <c r="L16" s="4">
        <v>0</v>
      </c>
    </row>
    <row r="17" spans="1:12">
      <c r="A17" s="1922"/>
      <c r="B17" s="1936"/>
      <c r="C17" s="1936"/>
      <c r="D17" s="1570" t="s">
        <v>82</v>
      </c>
      <c r="E17" s="1569">
        <v>28</v>
      </c>
      <c r="F17" s="698"/>
      <c r="G17" s="403"/>
      <c r="J17" s="4">
        <v>0</v>
      </c>
      <c r="K17" s="4">
        <v>0</v>
      </c>
      <c r="L17" s="4">
        <v>0</v>
      </c>
    </row>
    <row r="18" spans="1:12">
      <c r="A18" s="1922"/>
      <c r="B18" s="1936"/>
      <c r="C18" s="1936"/>
      <c r="D18" s="1570">
        <v>330</v>
      </c>
      <c r="E18" s="1569">
        <v>18</v>
      </c>
      <c r="F18" s="698"/>
      <c r="G18" s="403"/>
      <c r="J18" s="4">
        <v>0</v>
      </c>
      <c r="K18" s="4">
        <v>0</v>
      </c>
      <c r="L18" s="4">
        <v>0</v>
      </c>
    </row>
    <row r="19" spans="1:12">
      <c r="A19" s="1922"/>
      <c r="B19" s="1936"/>
      <c r="C19" s="1936"/>
      <c r="D19" s="1570">
        <v>220</v>
      </c>
      <c r="E19" s="1569">
        <v>14</v>
      </c>
      <c r="F19" s="698">
        <v>2</v>
      </c>
      <c r="G19" s="403">
        <v>28</v>
      </c>
      <c r="I19" s="4">
        <v>2</v>
      </c>
      <c r="J19" s="4">
        <v>0</v>
      </c>
      <c r="K19" s="4">
        <v>0</v>
      </c>
      <c r="L19" s="4">
        <v>0</v>
      </c>
    </row>
    <row r="20" spans="1:12">
      <c r="A20" s="1922"/>
      <c r="B20" s="1936"/>
      <c r="C20" s="1936"/>
      <c r="D20" s="1570" t="s">
        <v>83</v>
      </c>
      <c r="E20" s="1569">
        <v>7.8</v>
      </c>
      <c r="F20" s="1789"/>
      <c r="G20" s="1770">
        <v>0</v>
      </c>
      <c r="J20" s="4">
        <v>0</v>
      </c>
      <c r="K20" s="4">
        <v>0</v>
      </c>
      <c r="L20" s="4">
        <v>0</v>
      </c>
    </row>
    <row r="21" spans="1:12">
      <c r="A21" s="1922"/>
      <c r="B21" s="1936"/>
      <c r="C21" s="1936"/>
      <c r="D21" s="1570">
        <v>35</v>
      </c>
      <c r="E21" s="1569">
        <v>2.1</v>
      </c>
      <c r="F21" s="1660"/>
      <c r="G21" s="1770">
        <v>0</v>
      </c>
      <c r="J21" s="4">
        <v>0</v>
      </c>
      <c r="K21" s="4">
        <v>0</v>
      </c>
      <c r="L21" s="4">
        <v>0</v>
      </c>
    </row>
    <row r="22" spans="1:12">
      <c r="A22" s="1922"/>
      <c r="B22" s="1936"/>
      <c r="C22" s="1927"/>
      <c r="D22" s="404" t="s">
        <v>86</v>
      </c>
      <c r="E22" s="405">
        <v>1</v>
      </c>
      <c r="F22" s="1661">
        <v>18</v>
      </c>
      <c r="G22" s="1770">
        <v>18</v>
      </c>
      <c r="I22" s="4">
        <v>22</v>
      </c>
      <c r="J22" s="4">
        <v>0</v>
      </c>
      <c r="K22" s="4">
        <v>-4</v>
      </c>
      <c r="L22" s="4">
        <v>0</v>
      </c>
    </row>
    <row r="23" spans="1:12" ht="12.75" customHeight="1">
      <c r="A23" s="1922">
        <v>3</v>
      </c>
      <c r="B23" s="1936" t="s">
        <v>87</v>
      </c>
      <c r="C23" s="1927" t="s">
        <v>88</v>
      </c>
      <c r="D23" s="393">
        <v>1150</v>
      </c>
      <c r="E23" s="1570">
        <v>180</v>
      </c>
      <c r="F23" s="1660"/>
      <c r="G23" s="1660"/>
      <c r="J23" s="4">
        <v>0</v>
      </c>
      <c r="K23" s="4">
        <v>0</v>
      </c>
      <c r="L23" s="4">
        <v>0</v>
      </c>
    </row>
    <row r="24" spans="1:12">
      <c r="A24" s="1922"/>
      <c r="B24" s="1936"/>
      <c r="C24" s="1936"/>
      <c r="D24" s="393">
        <v>750</v>
      </c>
      <c r="E24" s="1570">
        <v>130</v>
      </c>
      <c r="F24" s="1660"/>
      <c r="G24" s="1660"/>
      <c r="J24" s="4">
        <v>0</v>
      </c>
      <c r="K24" s="4">
        <v>0</v>
      </c>
      <c r="L24" s="4">
        <v>0</v>
      </c>
    </row>
    <row r="25" spans="1:12">
      <c r="A25" s="1922"/>
      <c r="B25" s="1936"/>
      <c r="C25" s="1936"/>
      <c r="D25" s="1570" t="s">
        <v>82</v>
      </c>
      <c r="E25" s="1569">
        <v>88</v>
      </c>
      <c r="F25" s="1660"/>
      <c r="G25" s="1660"/>
      <c r="J25" s="4">
        <v>0</v>
      </c>
      <c r="K25" s="4">
        <v>0</v>
      </c>
      <c r="L25" s="4">
        <v>0</v>
      </c>
    </row>
    <row r="26" spans="1:12">
      <c r="A26" s="1922"/>
      <c r="B26" s="1936"/>
      <c r="C26" s="1936"/>
      <c r="D26" s="1570">
        <v>330</v>
      </c>
      <c r="E26" s="1569">
        <v>66</v>
      </c>
      <c r="F26" s="1660"/>
      <c r="G26" s="1660"/>
      <c r="J26" s="4">
        <v>0</v>
      </c>
      <c r="K26" s="4">
        <v>0</v>
      </c>
      <c r="L26" s="4">
        <v>0</v>
      </c>
    </row>
    <row r="27" spans="1:12">
      <c r="A27" s="1922"/>
      <c r="B27" s="1936"/>
      <c r="C27" s="1936"/>
      <c r="D27" s="1570">
        <v>220</v>
      </c>
      <c r="E27" s="1569">
        <v>43</v>
      </c>
      <c r="F27" s="1660"/>
      <c r="G27" s="1660"/>
      <c r="J27" s="4">
        <v>0</v>
      </c>
      <c r="K27" s="4">
        <v>0</v>
      </c>
      <c r="L27" s="4">
        <v>0</v>
      </c>
    </row>
    <row r="28" spans="1:12">
      <c r="A28" s="1922"/>
      <c r="B28" s="1936"/>
      <c r="C28" s="1936"/>
      <c r="D28" s="1570" t="s">
        <v>83</v>
      </c>
      <c r="E28" s="1569">
        <v>26</v>
      </c>
      <c r="F28" s="1660"/>
      <c r="G28" s="1660"/>
      <c r="J28" s="4">
        <v>0</v>
      </c>
      <c r="K28" s="4">
        <v>0</v>
      </c>
      <c r="L28" s="4">
        <v>0</v>
      </c>
    </row>
    <row r="29" spans="1:12">
      <c r="A29" s="1922"/>
      <c r="B29" s="1936"/>
      <c r="C29" s="1936"/>
      <c r="D29" s="1570">
        <v>35</v>
      </c>
      <c r="E29" s="1569">
        <v>11</v>
      </c>
      <c r="F29" s="1660"/>
      <c r="G29" s="1660"/>
      <c r="J29" s="4">
        <v>0</v>
      </c>
      <c r="K29" s="4">
        <v>0</v>
      </c>
      <c r="L29" s="4">
        <v>0</v>
      </c>
    </row>
    <row r="30" spans="1:12">
      <c r="A30" s="1922"/>
      <c r="B30" s="1936"/>
      <c r="C30" s="1927"/>
      <c r="D30" s="404" t="s">
        <v>86</v>
      </c>
      <c r="E30" s="1569">
        <v>5.5</v>
      </c>
      <c r="F30" s="1660">
        <v>9</v>
      </c>
      <c r="G30" s="1770">
        <v>49.5</v>
      </c>
      <c r="I30" s="4">
        <v>9</v>
      </c>
      <c r="J30" s="4">
        <v>0</v>
      </c>
      <c r="K30" s="4">
        <v>0</v>
      </c>
      <c r="L30" s="4">
        <v>0</v>
      </c>
    </row>
    <row r="31" spans="1:12" ht="12.75" customHeight="1">
      <c r="A31" s="1922">
        <v>4</v>
      </c>
      <c r="B31" s="1927" t="s">
        <v>113</v>
      </c>
      <c r="C31" s="1927" t="s">
        <v>89</v>
      </c>
      <c r="D31" s="1570">
        <v>220</v>
      </c>
      <c r="E31" s="1570">
        <v>23</v>
      </c>
      <c r="F31" s="1660"/>
      <c r="G31" s="1660"/>
      <c r="J31" s="4">
        <v>0</v>
      </c>
      <c r="K31" s="4">
        <v>0</v>
      </c>
      <c r="L31" s="4">
        <v>0</v>
      </c>
    </row>
    <row r="32" spans="1:12">
      <c r="A32" s="1922"/>
      <c r="B32" s="1927"/>
      <c r="C32" s="1927"/>
      <c r="D32" s="1570" t="s">
        <v>83</v>
      </c>
      <c r="E32" s="1570">
        <v>14</v>
      </c>
      <c r="F32" s="1660"/>
      <c r="G32" s="1781">
        <v>0</v>
      </c>
      <c r="J32" s="4">
        <v>0</v>
      </c>
      <c r="K32" s="4">
        <v>0</v>
      </c>
      <c r="L32" s="4">
        <v>0</v>
      </c>
    </row>
    <row r="33" spans="1:12">
      <c r="A33" s="1922"/>
      <c r="B33" s="1927"/>
      <c r="C33" s="1927"/>
      <c r="D33" s="1570">
        <v>35</v>
      </c>
      <c r="E33" s="1570">
        <v>6.4</v>
      </c>
      <c r="F33" s="1660"/>
      <c r="G33" s="1660"/>
      <c r="J33" s="4">
        <v>0</v>
      </c>
      <c r="K33" s="4">
        <v>0</v>
      </c>
      <c r="L33" s="4">
        <v>0</v>
      </c>
    </row>
    <row r="34" spans="1:12">
      <c r="A34" s="1922"/>
      <c r="B34" s="1927"/>
      <c r="C34" s="1927"/>
      <c r="D34" s="404" t="s">
        <v>86</v>
      </c>
      <c r="E34" s="1570">
        <v>3.1</v>
      </c>
      <c r="F34" s="1797">
        <v>50</v>
      </c>
      <c r="G34" s="1770">
        <v>155</v>
      </c>
      <c r="I34" s="4">
        <v>50</v>
      </c>
      <c r="J34" s="4">
        <v>0</v>
      </c>
      <c r="K34" s="4">
        <v>0</v>
      </c>
      <c r="L34" s="4">
        <v>0</v>
      </c>
    </row>
    <row r="35" spans="1:12" ht="12.75" customHeight="1">
      <c r="A35" s="1922">
        <v>5</v>
      </c>
      <c r="B35" s="1927" t="s">
        <v>90</v>
      </c>
      <c r="C35" s="1927" t="s">
        <v>85</v>
      </c>
      <c r="D35" s="1570" t="s">
        <v>82</v>
      </c>
      <c r="E35" s="1569">
        <v>35</v>
      </c>
      <c r="F35" s="1660"/>
      <c r="G35" s="1660"/>
      <c r="I35" s="4">
        <v>0</v>
      </c>
      <c r="J35" s="4">
        <v>0</v>
      </c>
      <c r="K35" s="4">
        <v>0</v>
      </c>
      <c r="L35" s="4">
        <v>0</v>
      </c>
    </row>
    <row r="36" spans="1:12">
      <c r="A36" s="1922"/>
      <c r="B36" s="1927"/>
      <c r="C36" s="1927"/>
      <c r="D36" s="1570">
        <v>330</v>
      </c>
      <c r="E36" s="1570">
        <v>24</v>
      </c>
      <c r="F36" s="1660"/>
      <c r="G36" s="1660"/>
      <c r="I36" s="4">
        <v>0</v>
      </c>
      <c r="J36" s="4">
        <v>0</v>
      </c>
      <c r="K36" s="4">
        <v>0</v>
      </c>
      <c r="L36" s="4">
        <v>0</v>
      </c>
    </row>
    <row r="37" spans="1:12">
      <c r="A37" s="1922"/>
      <c r="B37" s="1927"/>
      <c r="C37" s="1927"/>
      <c r="D37" s="1570">
        <v>220</v>
      </c>
      <c r="E37" s="1570">
        <v>19</v>
      </c>
      <c r="F37" s="1798">
        <v>3</v>
      </c>
      <c r="G37" s="1770">
        <v>57</v>
      </c>
      <c r="H37" s="4" t="s">
        <v>1320</v>
      </c>
      <c r="I37" s="4">
        <v>3</v>
      </c>
      <c r="J37" s="4">
        <v>0</v>
      </c>
      <c r="K37" s="4">
        <v>0</v>
      </c>
      <c r="L37" s="4">
        <v>0</v>
      </c>
    </row>
    <row r="38" spans="1:12">
      <c r="A38" s="1922"/>
      <c r="B38" s="1927"/>
      <c r="C38" s="1927"/>
      <c r="D38" s="1570" t="s">
        <v>83</v>
      </c>
      <c r="E38" s="1570">
        <v>9.5</v>
      </c>
      <c r="F38" s="1789"/>
      <c r="G38" s="1770">
        <v>0</v>
      </c>
      <c r="I38" s="4">
        <v>0</v>
      </c>
      <c r="J38" s="4">
        <v>0</v>
      </c>
      <c r="K38" s="4">
        <v>0</v>
      </c>
      <c r="L38" s="4">
        <v>0</v>
      </c>
    </row>
    <row r="39" spans="1:12">
      <c r="A39" s="1922"/>
      <c r="B39" s="1927"/>
      <c r="C39" s="1927"/>
      <c r="D39" s="1570">
        <v>35</v>
      </c>
      <c r="E39" s="1570">
        <v>4.7</v>
      </c>
      <c r="F39" s="1660"/>
      <c r="G39" s="1770">
        <v>0</v>
      </c>
      <c r="I39" s="4">
        <v>0</v>
      </c>
      <c r="J39" s="4">
        <v>0</v>
      </c>
      <c r="K39" s="4">
        <v>0</v>
      </c>
      <c r="L39" s="4">
        <v>0</v>
      </c>
    </row>
    <row r="40" spans="1:12" ht="26.4">
      <c r="A40" s="1569">
        <v>6</v>
      </c>
      <c r="B40" s="1570" t="s">
        <v>91</v>
      </c>
      <c r="C40" s="1570" t="s">
        <v>89</v>
      </c>
      <c r="D40" s="407" t="s">
        <v>86</v>
      </c>
      <c r="E40" s="1570">
        <v>2.2999999999999998</v>
      </c>
      <c r="F40" s="1799">
        <v>5</v>
      </c>
      <c r="G40" s="1781">
        <v>11.5</v>
      </c>
      <c r="I40" s="4">
        <v>5</v>
      </c>
      <c r="J40" s="4">
        <v>0</v>
      </c>
      <c r="K40" s="4">
        <v>0</v>
      </c>
      <c r="L40" s="1771">
        <v>3</v>
      </c>
    </row>
    <row r="41" spans="1:12" ht="39.6">
      <c r="A41" s="1569">
        <v>7</v>
      </c>
      <c r="B41" s="1570" t="s">
        <v>92</v>
      </c>
      <c r="C41" s="1570" t="s">
        <v>89</v>
      </c>
      <c r="D41" s="407" t="s">
        <v>86</v>
      </c>
      <c r="E41" s="1570">
        <v>26</v>
      </c>
      <c r="F41" s="1660"/>
      <c r="G41" s="1660"/>
      <c r="J41" s="4">
        <v>0</v>
      </c>
      <c r="K41" s="4">
        <v>0</v>
      </c>
      <c r="L41" s="4">
        <v>0</v>
      </c>
    </row>
    <row r="42" spans="1:12" ht="26.4">
      <c r="A42" s="1569">
        <v>8</v>
      </c>
      <c r="B42" s="1570" t="s">
        <v>93</v>
      </c>
      <c r="C42" s="1570" t="s">
        <v>89</v>
      </c>
      <c r="D42" s="407" t="s">
        <v>86</v>
      </c>
      <c r="E42" s="1570">
        <v>48</v>
      </c>
      <c r="F42" s="696"/>
      <c r="G42" s="1570"/>
      <c r="J42" s="4">
        <v>0</v>
      </c>
      <c r="K42" s="4">
        <v>0</v>
      </c>
      <c r="L42" s="4">
        <v>0</v>
      </c>
    </row>
    <row r="43" spans="1:12" ht="12.75" customHeight="1">
      <c r="A43" s="1922">
        <v>9</v>
      </c>
      <c r="B43" s="1927" t="s">
        <v>94</v>
      </c>
      <c r="C43" s="1927" t="s">
        <v>95</v>
      </c>
      <c r="D43" s="1570">
        <v>35</v>
      </c>
      <c r="E43" s="1570">
        <v>2.4</v>
      </c>
      <c r="F43" s="696"/>
      <c r="G43" s="1570"/>
      <c r="J43" s="4">
        <v>0</v>
      </c>
      <c r="K43" s="4">
        <v>0</v>
      </c>
      <c r="L43" s="4">
        <v>0</v>
      </c>
    </row>
    <row r="44" spans="1:12">
      <c r="A44" s="1922"/>
      <c r="B44" s="1927"/>
      <c r="C44" s="1927"/>
      <c r="D44" s="407" t="s">
        <v>86</v>
      </c>
      <c r="E44" s="1570">
        <v>2.4</v>
      </c>
      <c r="F44" s="696"/>
      <c r="G44" s="403">
        <v>0</v>
      </c>
      <c r="J44" s="4">
        <v>0</v>
      </c>
      <c r="K44" s="4">
        <v>0</v>
      </c>
      <c r="L44" s="4">
        <v>0</v>
      </c>
    </row>
    <row r="45" spans="1:12" ht="26.4">
      <c r="A45" s="1569">
        <v>10</v>
      </c>
      <c r="B45" s="1570" t="s">
        <v>96</v>
      </c>
      <c r="C45" s="1570" t="s">
        <v>97</v>
      </c>
      <c r="D45" s="407" t="s">
        <v>86</v>
      </c>
      <c r="E45" s="1570">
        <v>2.5</v>
      </c>
      <c r="F45" s="697"/>
      <c r="G45" s="406">
        <v>0</v>
      </c>
      <c r="J45" s="4">
        <v>0</v>
      </c>
      <c r="K45" s="4">
        <v>0</v>
      </c>
      <c r="L45" s="4">
        <v>0</v>
      </c>
    </row>
    <row r="46" spans="1:12" ht="26.4">
      <c r="A46" s="1569">
        <v>11</v>
      </c>
      <c r="B46" s="1570" t="s">
        <v>98</v>
      </c>
      <c r="C46" s="1570" t="s">
        <v>99</v>
      </c>
      <c r="D46" s="407" t="s">
        <v>86</v>
      </c>
      <c r="E46" s="1570">
        <v>2.2999999999999998</v>
      </c>
      <c r="F46" s="1568">
        <v>2</v>
      </c>
      <c r="G46" s="406">
        <v>4.5999999999999996</v>
      </c>
      <c r="I46" s="4">
        <v>2</v>
      </c>
      <c r="J46" s="4">
        <v>0</v>
      </c>
      <c r="K46" s="4">
        <v>0</v>
      </c>
      <c r="L46" s="1771">
        <v>2</v>
      </c>
    </row>
    <row r="47" spans="1:12" ht="26.4">
      <c r="A47" s="1569">
        <v>12</v>
      </c>
      <c r="B47" s="1570" t="s">
        <v>100</v>
      </c>
      <c r="C47" s="1570" t="s">
        <v>99</v>
      </c>
      <c r="D47" s="407" t="s">
        <v>86</v>
      </c>
      <c r="E47" s="1570">
        <v>3</v>
      </c>
      <c r="F47" s="1800">
        <v>9</v>
      </c>
      <c r="G47" s="1781">
        <v>27</v>
      </c>
      <c r="I47" s="4">
        <v>10</v>
      </c>
      <c r="J47" s="1771">
        <v>2</v>
      </c>
      <c r="K47" s="1771">
        <v>-1</v>
      </c>
      <c r="L47" s="4">
        <v>0</v>
      </c>
    </row>
    <row r="48" spans="1:12" ht="39.6">
      <c r="A48" s="1569">
        <v>13</v>
      </c>
      <c r="B48" s="1570" t="s">
        <v>810</v>
      </c>
      <c r="C48" s="1570" t="s">
        <v>101</v>
      </c>
      <c r="D48" s="1570">
        <v>35</v>
      </c>
      <c r="E48" s="1570">
        <v>3.5</v>
      </c>
      <c r="F48" s="696"/>
      <c r="G48" s="1660"/>
      <c r="J48" s="4">
        <v>560.6</v>
      </c>
    </row>
    <row r="49" spans="1:11">
      <c r="A49" s="1922" t="s">
        <v>102</v>
      </c>
      <c r="B49" s="1927" t="s">
        <v>103</v>
      </c>
      <c r="C49" s="1927"/>
      <c r="D49" s="1570" t="s">
        <v>226</v>
      </c>
      <c r="E49" s="403">
        <v>0</v>
      </c>
      <c r="F49" s="403">
        <v>0</v>
      </c>
      <c r="G49" s="1770">
        <v>295</v>
      </c>
    </row>
    <row r="50" spans="1:11">
      <c r="A50" s="1922"/>
      <c r="B50" s="1927"/>
      <c r="C50" s="1927"/>
      <c r="D50" s="1570" t="s">
        <v>30</v>
      </c>
      <c r="E50" s="403">
        <v>0</v>
      </c>
      <c r="F50" s="403">
        <v>0</v>
      </c>
      <c r="G50" s="1770">
        <v>265.60000000000002</v>
      </c>
    </row>
    <row r="51" spans="1:11">
      <c r="A51" s="1922"/>
      <c r="B51" s="1927"/>
      <c r="C51" s="1927"/>
      <c r="D51" s="1570" t="s">
        <v>215</v>
      </c>
      <c r="E51" s="403">
        <v>0</v>
      </c>
      <c r="F51" s="403">
        <v>0</v>
      </c>
      <c r="G51" s="408">
        <v>0</v>
      </c>
      <c r="J51" s="64">
        <v>560.6</v>
      </c>
      <c r="K51" s="385">
        <v>503.6</v>
      </c>
    </row>
    <row r="52" spans="1:11">
      <c r="A52" s="19"/>
      <c r="B52" s="20"/>
      <c r="C52" s="20"/>
      <c r="D52" s="20"/>
      <c r="E52" s="19"/>
      <c r="F52" s="19"/>
      <c r="G52" s="20"/>
    </row>
    <row r="53" spans="1:11">
      <c r="A53" s="4" t="s">
        <v>201</v>
      </c>
    </row>
    <row r="54" spans="1:11" ht="21.75" customHeight="1">
      <c r="A54" s="1934" t="s">
        <v>512</v>
      </c>
      <c r="B54" s="1934"/>
      <c r="C54" s="1934"/>
      <c r="D54" s="1934"/>
      <c r="E54" s="1934"/>
      <c r="F54" s="1934"/>
      <c r="G54" s="1934"/>
    </row>
    <row r="55" spans="1:11" ht="39.75" customHeight="1">
      <c r="A55" s="1934" t="s">
        <v>513</v>
      </c>
      <c r="B55" s="1934"/>
      <c r="C55" s="1934"/>
      <c r="D55" s="1934"/>
      <c r="E55" s="1934"/>
      <c r="F55" s="1934"/>
      <c r="G55" s="1934"/>
    </row>
    <row r="56" spans="1:11" ht="31.5" customHeight="1">
      <c r="A56" s="1935" t="s">
        <v>514</v>
      </c>
      <c r="B56" s="1935"/>
      <c r="C56" s="1935"/>
      <c r="D56" s="1935"/>
      <c r="E56" s="1935"/>
      <c r="F56" s="1935"/>
      <c r="G56" s="1935"/>
    </row>
    <row r="57" spans="1:11" ht="41.25" customHeight="1">
      <c r="A57" s="1934" t="s">
        <v>515</v>
      </c>
      <c r="B57" s="1934"/>
      <c r="C57" s="1934"/>
      <c r="D57" s="1934"/>
      <c r="E57" s="1934"/>
      <c r="F57" s="1934"/>
      <c r="G57" s="1934"/>
    </row>
    <row r="58" spans="1:11" ht="46.5" customHeight="1">
      <c r="A58" s="1934" t="s">
        <v>516</v>
      </c>
      <c r="B58" s="1934"/>
      <c r="C58" s="1934"/>
      <c r="D58" s="1934"/>
      <c r="E58" s="1934"/>
      <c r="F58" s="1934"/>
      <c r="G58" s="1934"/>
    </row>
    <row r="59" spans="1:11" ht="45.75" customHeight="1">
      <c r="A59" s="1934" t="s">
        <v>517</v>
      </c>
      <c r="B59" s="1934"/>
      <c r="C59" s="1934"/>
      <c r="D59" s="1934"/>
      <c r="E59" s="1934"/>
      <c r="F59" s="1934"/>
      <c r="G59" s="1934"/>
    </row>
    <row r="60" spans="1:11" ht="27.75" customHeight="1">
      <c r="A60" s="1934" t="s">
        <v>518</v>
      </c>
      <c r="B60" s="1934"/>
      <c r="C60" s="1934"/>
      <c r="D60" s="1934"/>
      <c r="E60" s="1934"/>
      <c r="F60" s="1934"/>
      <c r="G60" s="1934"/>
    </row>
    <row r="61" spans="1:11" ht="28.5" customHeight="1">
      <c r="A61" s="1934" t="s">
        <v>519</v>
      </c>
      <c r="B61" s="1934"/>
      <c r="C61" s="1934"/>
      <c r="D61" s="1934"/>
      <c r="E61" s="1934"/>
      <c r="F61" s="1934"/>
      <c r="G61" s="1934"/>
    </row>
    <row r="62" spans="1:11" ht="33.75" customHeight="1">
      <c r="A62" s="1934" t="s">
        <v>520</v>
      </c>
      <c r="B62" s="1934"/>
      <c r="C62" s="1934"/>
      <c r="D62" s="1934"/>
      <c r="E62" s="1934"/>
      <c r="F62" s="1934"/>
      <c r="G62" s="1934"/>
    </row>
    <row r="63" spans="1:11" s="623" customFormat="1" ht="23.25" customHeight="1">
      <c r="A63" s="685" t="s">
        <v>632</v>
      </c>
      <c r="B63" s="621"/>
      <c r="C63" s="622"/>
      <c r="H63" s="1565"/>
    </row>
    <row r="64" spans="1:11" s="623" customFormat="1" ht="15" customHeight="1">
      <c r="A64" s="685" t="s">
        <v>662</v>
      </c>
      <c r="B64" s="625"/>
      <c r="C64" s="622"/>
      <c r="G64" s="626" t="s">
        <v>1360</v>
      </c>
    </row>
    <row r="65" spans="1:7" s="22" customFormat="1"/>
    <row r="66" spans="1:7" s="22" customFormat="1">
      <c r="A66" s="43"/>
    </row>
    <row r="67" spans="1:7" s="22" customFormat="1">
      <c r="A67" s="43"/>
    </row>
    <row r="68" spans="1:7" ht="58.5" customHeight="1">
      <c r="A68" s="1934"/>
      <c r="B68" s="1934"/>
      <c r="C68" s="1934"/>
      <c r="D68" s="1934"/>
      <c r="E68" s="1934"/>
      <c r="F68" s="1934"/>
      <c r="G68" s="1934"/>
    </row>
    <row r="69" spans="1:7" ht="53.25" customHeight="1">
      <c r="A69" s="1934"/>
      <c r="B69" s="1934"/>
      <c r="C69" s="1934"/>
      <c r="D69" s="1934"/>
      <c r="E69" s="1934"/>
      <c r="F69" s="1934"/>
      <c r="G69" s="1934"/>
    </row>
    <row r="70" spans="1:7" ht="31.5" customHeight="1">
      <c r="A70" s="1934"/>
      <c r="B70" s="1934"/>
      <c r="C70" s="1934"/>
      <c r="D70" s="1934"/>
      <c r="E70" s="1934"/>
      <c r="F70" s="1934"/>
      <c r="G70" s="1934"/>
    </row>
    <row r="71" spans="1:7" ht="27.75" customHeight="1">
      <c r="A71" s="1933"/>
      <c r="B71" s="1933"/>
      <c r="C71" s="1933"/>
      <c r="D71" s="1933"/>
      <c r="E71" s="1933"/>
      <c r="F71" s="1933"/>
      <c r="G71" s="1933"/>
    </row>
  </sheetData>
  <mergeCells count="37">
    <mergeCell ref="D5:D6"/>
    <mergeCell ref="A15:A22"/>
    <mergeCell ref="B15:B22"/>
    <mergeCell ref="C15:C22"/>
    <mergeCell ref="A8:A14"/>
    <mergeCell ref="B8:B14"/>
    <mergeCell ref="C8:C14"/>
    <mergeCell ref="A5:A6"/>
    <mergeCell ref="B5:B6"/>
    <mergeCell ref="C5:C6"/>
    <mergeCell ref="A23:A30"/>
    <mergeCell ref="B23:B30"/>
    <mergeCell ref="C23:C30"/>
    <mergeCell ref="A58:G58"/>
    <mergeCell ref="A59:G59"/>
    <mergeCell ref="A31:A34"/>
    <mergeCell ref="B31:B34"/>
    <mergeCell ref="C31:C34"/>
    <mergeCell ref="A35:A39"/>
    <mergeCell ref="B35:B39"/>
    <mergeCell ref="C35:C39"/>
    <mergeCell ref="A43:A44"/>
    <mergeCell ref="B43:B44"/>
    <mergeCell ref="C43:C44"/>
    <mergeCell ref="A71:G71"/>
    <mergeCell ref="A68:G68"/>
    <mergeCell ref="A69:G69"/>
    <mergeCell ref="A49:A51"/>
    <mergeCell ref="B49:C51"/>
    <mergeCell ref="A70:G70"/>
    <mergeCell ref="A54:G54"/>
    <mergeCell ref="A60:G60"/>
    <mergeCell ref="A61:G61"/>
    <mergeCell ref="A62:G62"/>
    <mergeCell ref="A55:G55"/>
    <mergeCell ref="A56:G56"/>
    <mergeCell ref="A57:G57"/>
  </mergeCells>
  <phoneticPr fontId="0" type="noConversion"/>
  <printOptions horizontalCentered="1"/>
  <pageMargins left="0.78740157480314965" right="0.78740157480314965" top="0.59055118110236227" bottom="0.11811023622047245" header="0.51181102362204722" footer="3.937007874015748E-2"/>
  <pageSetup paperSize="9" scale="87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0"/>
  </sheetPr>
  <dimension ref="A1:L35"/>
  <sheetViews>
    <sheetView topLeftCell="A16" zoomScaleNormal="100" workbookViewId="0">
      <selection activeCell="H38" sqref="H38"/>
    </sheetView>
  </sheetViews>
  <sheetFormatPr defaultColWidth="9.109375" defaultRowHeight="13.2"/>
  <cols>
    <col min="1" max="1" width="5.5546875" style="1559" customWidth="1"/>
    <col min="2" max="2" width="28" style="1559" customWidth="1"/>
    <col min="3" max="3" width="11.6640625" style="1559" customWidth="1"/>
    <col min="4" max="4" width="10.5546875" style="1559" customWidth="1"/>
    <col min="5" max="5" width="9.33203125" style="1559" bestFit="1" customWidth="1"/>
    <col min="6" max="6" width="10.109375" style="1559" bestFit="1" customWidth="1"/>
    <col min="7" max="7" width="10.44140625" style="1559" bestFit="1" customWidth="1"/>
    <col min="8" max="8" width="10.109375" style="1559" bestFit="1" customWidth="1"/>
    <col min="9" max="9" width="11" style="1559" bestFit="1" customWidth="1"/>
    <col min="10" max="10" width="9.33203125" style="1559" bestFit="1" customWidth="1"/>
    <col min="11" max="11" width="11" style="1559" bestFit="1" customWidth="1"/>
    <col min="12" max="12" width="10.44140625" style="1559" bestFit="1" customWidth="1"/>
    <col min="13" max="16384" width="9.109375" style="1559"/>
  </cols>
  <sheetData>
    <row r="1" spans="1:12">
      <c r="L1" s="1584" t="s">
        <v>139</v>
      </c>
    </row>
    <row r="2" spans="1:12" ht="15.6">
      <c r="A2" s="1558" t="s">
        <v>116</v>
      </c>
      <c r="B2" s="1558"/>
      <c r="C2" s="1558"/>
      <c r="D2" s="1558"/>
      <c r="E2" s="1558"/>
      <c r="F2" s="1558"/>
      <c r="G2" s="1558"/>
      <c r="H2" s="1558"/>
      <c r="I2" s="1558"/>
      <c r="J2" s="1558"/>
      <c r="K2" s="1585"/>
      <c r="L2" s="1585"/>
    </row>
    <row r="3" spans="1:12" ht="15.6">
      <c r="A3" s="1558" t="s">
        <v>1315</v>
      </c>
      <c r="B3" s="1558"/>
      <c r="C3" s="1558"/>
      <c r="D3" s="1558"/>
      <c r="E3" s="1558"/>
      <c r="F3" s="1558"/>
      <c r="G3" s="1558"/>
      <c r="H3" s="1558"/>
      <c r="I3" s="1558"/>
      <c r="J3" s="1558"/>
      <c r="K3" s="1585"/>
      <c r="L3" s="1585"/>
    </row>
    <row r="4" spans="1:12">
      <c r="A4" s="1586"/>
      <c r="B4" s="1834" t="s">
        <v>746</v>
      </c>
      <c r="C4" s="1586"/>
      <c r="D4" s="1586"/>
      <c r="E4" s="1586"/>
      <c r="F4" s="1586"/>
      <c r="G4" s="1586"/>
      <c r="H4" s="1586"/>
      <c r="I4" s="1586"/>
      <c r="J4" s="1586"/>
      <c r="K4" s="1587"/>
      <c r="L4" s="1588" t="s">
        <v>216</v>
      </c>
    </row>
    <row r="5" spans="1:12" s="1835" customFormat="1" ht="16.5" customHeight="1">
      <c r="A5" s="1589" t="s">
        <v>208</v>
      </c>
      <c r="B5" s="1589" t="s">
        <v>109</v>
      </c>
      <c r="C5" s="1938" t="s">
        <v>117</v>
      </c>
      <c r="D5" s="1939"/>
      <c r="E5" s="1939"/>
      <c r="F5" s="1939"/>
      <c r="G5" s="1940"/>
      <c r="H5" s="1938" t="s">
        <v>217</v>
      </c>
      <c r="I5" s="1939"/>
      <c r="J5" s="1939"/>
      <c r="K5" s="1939"/>
      <c r="L5" s="1940"/>
    </row>
    <row r="6" spans="1:12" s="1835" customFormat="1" ht="17.25" customHeight="1">
      <c r="A6" s="1589"/>
      <c r="B6" s="1589"/>
      <c r="C6" s="1589" t="s">
        <v>214</v>
      </c>
      <c r="D6" s="1589" t="s">
        <v>210</v>
      </c>
      <c r="E6" s="1589" t="s">
        <v>211</v>
      </c>
      <c r="F6" s="1589" t="s">
        <v>212</v>
      </c>
      <c r="G6" s="1589" t="s">
        <v>213</v>
      </c>
      <c r="H6" s="1589" t="s">
        <v>214</v>
      </c>
      <c r="I6" s="1589" t="s">
        <v>210</v>
      </c>
      <c r="J6" s="1589" t="s">
        <v>211</v>
      </c>
      <c r="K6" s="1589" t="s">
        <v>212</v>
      </c>
      <c r="L6" s="1589" t="s">
        <v>213</v>
      </c>
    </row>
    <row r="7" spans="1:12" s="1836" customFormat="1" ht="12">
      <c r="A7" s="1590">
        <v>1</v>
      </c>
      <c r="B7" s="1590">
        <v>2</v>
      </c>
      <c r="C7" s="1590">
        <v>3</v>
      </c>
      <c r="D7" s="1590">
        <v>4</v>
      </c>
      <c r="E7" s="1590">
        <v>5</v>
      </c>
      <c r="F7" s="1590">
        <v>6</v>
      </c>
      <c r="G7" s="1590">
        <v>7</v>
      </c>
      <c r="H7" s="1590">
        <v>8</v>
      </c>
      <c r="I7" s="1590">
        <v>9</v>
      </c>
      <c r="J7" s="1590">
        <v>10</v>
      </c>
      <c r="K7" s="1590">
        <v>11</v>
      </c>
      <c r="L7" s="1590">
        <v>12</v>
      </c>
    </row>
    <row r="8" spans="1:12" ht="26.4">
      <c r="A8" s="1837" t="s">
        <v>218</v>
      </c>
      <c r="B8" s="1838" t="s">
        <v>118</v>
      </c>
      <c r="C8" s="1839">
        <v>20.1514989</v>
      </c>
      <c r="D8" s="1592">
        <v>19.5138949</v>
      </c>
      <c r="E8" s="1591">
        <v>0.54786199999999996</v>
      </c>
      <c r="F8" s="1592">
        <v>5.5451335999999998</v>
      </c>
      <c r="G8" s="1592">
        <v>0.40292399999999962</v>
      </c>
      <c r="H8" s="1592">
        <v>20.726210439999999</v>
      </c>
      <c r="I8" s="1592">
        <v>20.146103439999997</v>
      </c>
      <c r="J8" s="1591">
        <v>0.45390700000000006</v>
      </c>
      <c r="K8" s="1592">
        <v>6.0519927799999973</v>
      </c>
      <c r="L8" s="1592">
        <v>0.44639633499999753</v>
      </c>
    </row>
    <row r="9" spans="1:12">
      <c r="A9" s="1837" t="s">
        <v>119</v>
      </c>
      <c r="B9" s="1837" t="s">
        <v>120</v>
      </c>
      <c r="C9" s="1593"/>
      <c r="D9" s="1596">
        <v>0</v>
      </c>
      <c r="E9" s="1591">
        <v>0</v>
      </c>
      <c r="F9" s="1592">
        <v>5.4553916000000005</v>
      </c>
      <c r="G9" s="1592">
        <v>0.40292399999999962</v>
      </c>
      <c r="H9" s="1592"/>
      <c r="I9" s="1593"/>
      <c r="J9" s="1591">
        <v>0</v>
      </c>
      <c r="K9" s="1592">
        <v>5.9257927799999974</v>
      </c>
      <c r="L9" s="1592">
        <v>0.44639633499999753</v>
      </c>
    </row>
    <row r="10" spans="1:12">
      <c r="A10" s="1837"/>
      <c r="B10" s="1837" t="s">
        <v>121</v>
      </c>
      <c r="C10" s="1593"/>
      <c r="D10" s="1593"/>
      <c r="E10" s="1593"/>
      <c r="F10" s="1592"/>
      <c r="G10" s="1593"/>
      <c r="H10" s="1592"/>
      <c r="I10" s="1593"/>
      <c r="J10" s="1591"/>
      <c r="K10" s="1593"/>
      <c r="L10" s="1593"/>
    </row>
    <row r="11" spans="1:12">
      <c r="A11" s="1837"/>
      <c r="B11" s="1837" t="s">
        <v>122</v>
      </c>
      <c r="C11" s="1592">
        <v>4.9075296000000002</v>
      </c>
      <c r="D11" s="1594"/>
      <c r="E11" s="1591">
        <v>0</v>
      </c>
      <c r="F11" s="1592">
        <v>4.9075296000000002</v>
      </c>
      <c r="G11" s="1593"/>
      <c r="H11" s="1592">
        <v>5.4718857799999974</v>
      </c>
      <c r="I11" s="1594"/>
      <c r="J11" s="1591">
        <v>0</v>
      </c>
      <c r="K11" s="1592">
        <v>5.4718857799999974</v>
      </c>
      <c r="L11" s="1593"/>
    </row>
    <row r="12" spans="1:12">
      <c r="A12" s="1837"/>
      <c r="B12" s="1837" t="s">
        <v>123</v>
      </c>
      <c r="C12" s="1591">
        <v>0.54786199999999996</v>
      </c>
      <c r="D12" s="1593"/>
      <c r="E12" s="1593"/>
      <c r="F12" s="1591">
        <v>0.54786199999999996</v>
      </c>
      <c r="G12" s="1593"/>
      <c r="H12" s="1591">
        <v>0.45390700000000006</v>
      </c>
      <c r="I12" s="1593"/>
      <c r="J12" s="1593"/>
      <c r="K12" s="1591">
        <v>0.45390700000000006</v>
      </c>
      <c r="L12" s="1593"/>
    </row>
    <row r="13" spans="1:12">
      <c r="A13" s="1837"/>
      <c r="B13" s="1837" t="s">
        <v>124</v>
      </c>
      <c r="C13" s="1592">
        <v>0.40292399999999962</v>
      </c>
      <c r="D13" s="1593"/>
      <c r="E13" s="1593"/>
      <c r="F13" s="1593"/>
      <c r="G13" s="1592">
        <v>0.40292399999999962</v>
      </c>
      <c r="H13" s="1593">
        <v>0.44639633499999753</v>
      </c>
      <c r="I13" s="1593"/>
      <c r="J13" s="1593"/>
      <c r="K13" s="1593"/>
      <c r="L13" s="1592">
        <v>0.44639633499999753</v>
      </c>
    </row>
    <row r="14" spans="1:12">
      <c r="A14" s="1837" t="s">
        <v>125</v>
      </c>
      <c r="B14" s="1840" t="s">
        <v>1354</v>
      </c>
      <c r="C14" s="1592">
        <v>19.5138949</v>
      </c>
      <c r="D14" s="1592">
        <v>19.5138949</v>
      </c>
      <c r="E14" s="1592"/>
      <c r="F14" s="1593"/>
      <c r="G14" s="1593"/>
      <c r="H14" s="1592">
        <v>20.146103439999997</v>
      </c>
      <c r="I14" s="1592">
        <v>20.146103439999997</v>
      </c>
      <c r="J14" s="1593"/>
      <c r="K14" s="1593"/>
      <c r="L14" s="1593"/>
    </row>
    <row r="15" spans="1:12">
      <c r="A15" s="1837" t="s">
        <v>126</v>
      </c>
      <c r="B15" s="1838" t="s">
        <v>1355</v>
      </c>
      <c r="C15" s="1591">
        <v>0.54786199999999996</v>
      </c>
      <c r="D15" s="1593"/>
      <c r="E15" s="1591">
        <v>0.54786199999999996</v>
      </c>
      <c r="F15" s="1593"/>
      <c r="G15" s="1592"/>
      <c r="H15" s="1591">
        <v>0.45390700000000006</v>
      </c>
      <c r="I15" s="1593"/>
      <c r="J15" s="1592">
        <v>0.45390700000000006</v>
      </c>
      <c r="K15" s="1593"/>
      <c r="L15" s="1592"/>
    </row>
    <row r="16" spans="1:12">
      <c r="A16" s="1837" t="s">
        <v>156</v>
      </c>
      <c r="B16" s="1838" t="s">
        <v>1325</v>
      </c>
      <c r="C16" s="1591">
        <v>3.3801999999999999E-2</v>
      </c>
      <c r="D16" s="1593"/>
      <c r="E16" s="1591"/>
      <c r="F16" s="1593">
        <v>3.3801999999999999E-2</v>
      </c>
      <c r="G16" s="1592"/>
      <c r="H16" s="1591">
        <v>6.8599999999999994E-2</v>
      </c>
      <c r="I16" s="1593"/>
      <c r="J16" s="1592"/>
      <c r="K16" s="1593">
        <v>6.8599999999999994E-2</v>
      </c>
      <c r="L16" s="1592"/>
    </row>
    <row r="17" spans="1:12">
      <c r="A17" s="1837" t="s">
        <v>1270</v>
      </c>
      <c r="B17" s="1838" t="s">
        <v>1309</v>
      </c>
      <c r="C17" s="1591">
        <v>5.5939999999999997E-2</v>
      </c>
      <c r="D17" s="1593"/>
      <c r="E17" s="1591"/>
      <c r="F17" s="1591">
        <v>5.5939999999999997E-2</v>
      </c>
      <c r="G17" s="1592"/>
      <c r="H17" s="1591">
        <v>5.7599999999999998E-2</v>
      </c>
      <c r="I17" s="1593"/>
      <c r="J17" s="1592"/>
      <c r="K17" s="1592">
        <v>5.7599999999999998E-2</v>
      </c>
      <c r="L17" s="1592"/>
    </row>
    <row r="18" spans="1:12" ht="26.4">
      <c r="A18" s="1837" t="s">
        <v>168</v>
      </c>
      <c r="B18" s="1838" t="s">
        <v>127</v>
      </c>
      <c r="C18" s="1596">
        <v>0</v>
      </c>
      <c r="D18" s="1593"/>
      <c r="E18" s="1593"/>
      <c r="F18" s="1593"/>
      <c r="G18" s="1593"/>
      <c r="H18" s="1596">
        <v>0</v>
      </c>
      <c r="I18" s="1593"/>
      <c r="J18" s="1593"/>
      <c r="K18" s="1593"/>
      <c r="L18" s="1593"/>
    </row>
    <row r="19" spans="1:12">
      <c r="A19" s="1837" t="s">
        <v>219</v>
      </c>
      <c r="B19" s="1837" t="s">
        <v>128</v>
      </c>
      <c r="C19" s="1592">
        <v>1.4106049000000001</v>
      </c>
      <c r="D19" s="1591">
        <v>0.63619829999999999</v>
      </c>
      <c r="E19" s="1591">
        <v>0</v>
      </c>
      <c r="F19" s="1591">
        <v>0.74048259999999999</v>
      </c>
      <c r="G19" s="1591">
        <v>3.3924000000000003E-2</v>
      </c>
      <c r="H19" s="1592">
        <v>1.4529070000000002</v>
      </c>
      <c r="I19" s="1591">
        <v>0.50105765999999996</v>
      </c>
      <c r="J19" s="1591">
        <v>0</v>
      </c>
      <c r="K19" s="1591">
        <v>0.92055734</v>
      </c>
      <c r="L19" s="1591">
        <v>3.1292E-2</v>
      </c>
    </row>
    <row r="20" spans="1:12">
      <c r="A20" s="1841"/>
      <c r="B20" s="1841" t="s">
        <v>188</v>
      </c>
      <c r="C20" s="1597">
        <v>6.99999988586457</v>
      </c>
      <c r="D20" s="1595">
        <v>3.2602322768480221</v>
      </c>
      <c r="E20" s="1596">
        <v>0</v>
      </c>
      <c r="F20" s="1597">
        <v>13.353737771079132</v>
      </c>
      <c r="G20" s="1597">
        <v>8.4194537927748261</v>
      </c>
      <c r="H20" s="1597">
        <v>7.0099983024200156</v>
      </c>
      <c r="I20" s="1595">
        <v>2.487119464527082</v>
      </c>
      <c r="J20" s="1596">
        <v>0</v>
      </c>
      <c r="K20" s="1597">
        <v>15.210813585934257</v>
      </c>
      <c r="L20" s="1597">
        <v>7.0099141830992346</v>
      </c>
    </row>
    <row r="21" spans="1:12" ht="26.4">
      <c r="A21" s="1841" t="s">
        <v>220</v>
      </c>
      <c r="B21" s="1842" t="s">
        <v>129</v>
      </c>
      <c r="C21" s="1843">
        <v>0</v>
      </c>
      <c r="D21" s="1598"/>
      <c r="E21" s="1598"/>
      <c r="F21" s="1598"/>
      <c r="G21" s="1843">
        <v>0</v>
      </c>
      <c r="H21" s="1843">
        <v>-2.4424906541753444E-15</v>
      </c>
      <c r="I21" s="1598"/>
      <c r="J21" s="1599"/>
      <c r="K21" s="1599"/>
      <c r="L21" s="1843">
        <v>-2.4424906541753444E-15</v>
      </c>
    </row>
    <row r="22" spans="1:12">
      <c r="A22" s="1844"/>
      <c r="B22" s="1845" t="s">
        <v>130</v>
      </c>
      <c r="C22" s="1601"/>
      <c r="D22" s="1846"/>
      <c r="E22" s="1846"/>
      <c r="F22" s="1601"/>
      <c r="G22" s="1601"/>
      <c r="H22" s="1601"/>
      <c r="I22" s="1600"/>
      <c r="J22" s="1601"/>
      <c r="K22" s="1601"/>
      <c r="L22" s="1601"/>
    </row>
    <row r="23" spans="1:12">
      <c r="A23" s="1837" t="s">
        <v>221</v>
      </c>
      <c r="B23" s="1837" t="s">
        <v>131</v>
      </c>
      <c r="C23" s="1591">
        <v>18.740894000000001</v>
      </c>
      <c r="D23" s="1591">
        <v>13.970167</v>
      </c>
      <c r="E23" s="1591">
        <v>0</v>
      </c>
      <c r="F23" s="1602">
        <v>4.4017270000000002</v>
      </c>
      <c r="G23" s="1602">
        <v>0.36899999999999999</v>
      </c>
      <c r="H23" s="1602">
        <v>19.273303439999996</v>
      </c>
      <c r="I23" s="1602">
        <v>14.173159999999999</v>
      </c>
      <c r="J23" s="1602">
        <v>0</v>
      </c>
      <c r="K23" s="1602">
        <v>4.6850391049999995</v>
      </c>
      <c r="L23" s="1602">
        <v>0.41510433499999999</v>
      </c>
    </row>
    <row r="24" spans="1:12" ht="26.4">
      <c r="A24" s="1841" t="s">
        <v>222</v>
      </c>
      <c r="B24" s="1847" t="s">
        <v>137</v>
      </c>
      <c r="C24" s="1591">
        <v>0</v>
      </c>
      <c r="D24" s="1601"/>
      <c r="E24" s="1848"/>
      <c r="F24" s="1598">
        <v>0</v>
      </c>
      <c r="G24" s="1602">
        <v>0</v>
      </c>
      <c r="H24" s="1602">
        <v>0</v>
      </c>
      <c r="I24" s="1598"/>
      <c r="J24" s="1598"/>
      <c r="K24" s="1598">
        <v>0</v>
      </c>
      <c r="L24" s="1598"/>
    </row>
    <row r="25" spans="1:12" ht="39.6">
      <c r="A25" s="1837"/>
      <c r="B25" s="1849" t="s">
        <v>138</v>
      </c>
      <c r="C25" s="1599"/>
      <c r="D25" s="1593"/>
      <c r="E25" s="1593"/>
      <c r="F25" s="1593"/>
      <c r="G25" s="1593"/>
      <c r="H25" s="1593"/>
      <c r="I25" s="1593"/>
      <c r="J25" s="1593"/>
      <c r="K25" s="1593"/>
      <c r="L25" s="1593"/>
    </row>
    <row r="26" spans="1:12">
      <c r="A26" s="1850" t="s">
        <v>223</v>
      </c>
      <c r="B26" s="1850" t="s">
        <v>132</v>
      </c>
      <c r="C26" s="1599"/>
      <c r="D26" s="1851"/>
      <c r="E26" s="1603"/>
      <c r="F26" s="1599"/>
      <c r="G26" s="1603"/>
      <c r="H26" s="1599"/>
      <c r="I26" s="1603"/>
      <c r="J26" s="1599"/>
      <c r="K26" s="1603"/>
      <c r="L26" s="1599"/>
    </row>
    <row r="27" spans="1:12">
      <c r="A27" s="1845"/>
      <c r="B27" s="1845" t="s">
        <v>133</v>
      </c>
      <c r="C27" s="1601"/>
      <c r="D27" s="1600"/>
      <c r="E27" s="1604"/>
      <c r="F27" s="1601"/>
      <c r="G27" s="1604"/>
      <c r="H27" s="1848"/>
      <c r="I27" s="1604"/>
      <c r="J27" s="1601"/>
      <c r="K27" s="1604"/>
      <c r="L27" s="1601"/>
    </row>
    <row r="28" spans="1:12">
      <c r="A28" s="1850" t="s">
        <v>134</v>
      </c>
      <c r="B28" s="1850" t="s">
        <v>135</v>
      </c>
      <c r="C28" s="1602">
        <v>18.740894000000001</v>
      </c>
      <c r="D28" s="1602">
        <v>13.970167</v>
      </c>
      <c r="E28" s="1602">
        <v>0</v>
      </c>
      <c r="F28" s="1602">
        <v>4.4017270000000002</v>
      </c>
      <c r="G28" s="1602">
        <v>0.36899999999999999</v>
      </c>
      <c r="H28" s="1602">
        <v>19.273303439999996</v>
      </c>
      <c r="I28" s="1602">
        <v>14.173159999999999</v>
      </c>
      <c r="J28" s="1602">
        <v>0</v>
      </c>
      <c r="K28" s="1852">
        <v>4.6850391049999995</v>
      </c>
      <c r="L28" s="1853">
        <v>0.41510433499999999</v>
      </c>
    </row>
    <row r="29" spans="1:12">
      <c r="A29" s="1845"/>
      <c r="B29" s="1845" t="s">
        <v>136</v>
      </c>
      <c r="C29" s="1601"/>
      <c r="D29" s="1600"/>
      <c r="E29" s="1604"/>
      <c r="F29" s="1601"/>
      <c r="G29" s="1604"/>
      <c r="H29" s="1601"/>
      <c r="I29" s="1604"/>
      <c r="J29" s="1601"/>
      <c r="K29" s="1604"/>
      <c r="L29" s="1601"/>
    </row>
    <row r="31" spans="1:12" s="1605" customFormat="1" ht="23.25" customHeight="1">
      <c r="A31" s="1854"/>
      <c r="B31" s="1854"/>
      <c r="C31" s="1855"/>
      <c r="H31" s="1856"/>
    </row>
    <row r="32" spans="1:12" s="1605" customFormat="1" ht="15" customHeight="1">
      <c r="A32" s="1854"/>
      <c r="B32" s="1857"/>
      <c r="C32" s="1858"/>
      <c r="E32" s="1859"/>
      <c r="F32" s="1859"/>
      <c r="H32" s="1859"/>
    </row>
    <row r="33" spans="1:8" s="1557" customFormat="1" ht="31.8" customHeight="1">
      <c r="A33" s="1860"/>
      <c r="B33" s="1860"/>
      <c r="H33" s="1861"/>
    </row>
    <row r="34" spans="1:8">
      <c r="A34" s="1862"/>
    </row>
    <row r="35" spans="1:8">
      <c r="A35" s="1862"/>
    </row>
  </sheetData>
  <mergeCells count="2">
    <mergeCell ref="C5:G5"/>
    <mergeCell ref="H5:L5"/>
  </mergeCells>
  <phoneticPr fontId="0" type="noConversion"/>
  <printOptions horizontalCentered="1"/>
  <pageMargins left="0.78740157480314965" right="0.78740157480314965" top="0.78740157480314965" bottom="0.11811023622047245" header="0.51181102362204722" footer="3.937007874015748E-2"/>
  <pageSetup paperSize="9" scale="96" orientation="landscape" r:id="rId1"/>
  <headerFooter alignWithMargins="0"/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0"/>
  </sheetPr>
  <dimension ref="A1:M34"/>
  <sheetViews>
    <sheetView tabSelected="1" topLeftCell="A16" zoomScaleNormal="100" workbookViewId="0">
      <selection activeCell="C34" sqref="C34"/>
    </sheetView>
  </sheetViews>
  <sheetFormatPr defaultColWidth="9.109375" defaultRowHeight="13.2"/>
  <cols>
    <col min="1" max="1" width="6.109375" style="1559" customWidth="1"/>
    <col min="2" max="2" width="34.109375" style="1559" customWidth="1"/>
    <col min="3" max="3" width="10.109375" style="1559" customWidth="1"/>
    <col min="4" max="4" width="9.109375" style="1559"/>
    <col min="5" max="5" width="9.5546875" style="1559" bestFit="1" customWidth="1"/>
    <col min="6" max="6" width="9.109375" style="1559"/>
    <col min="7" max="7" width="10.44140625" style="1559" customWidth="1"/>
    <col min="8" max="8" width="9.5546875" style="1559" customWidth="1"/>
    <col min="9" max="9" width="9.88671875" style="1559" customWidth="1"/>
    <col min="10" max="11" width="9.109375" style="1559"/>
    <col min="12" max="12" width="10" style="1559" bestFit="1" customWidth="1"/>
    <col min="13" max="16384" width="9.109375" style="1559"/>
  </cols>
  <sheetData>
    <row r="1" spans="1:12">
      <c r="L1" s="1584" t="s">
        <v>140</v>
      </c>
    </row>
    <row r="2" spans="1:12" ht="15.6">
      <c r="A2" s="1833" t="s">
        <v>155</v>
      </c>
      <c r="B2" s="1863"/>
      <c r="C2" s="1864"/>
      <c r="D2" s="1864"/>
      <c r="E2" s="1864"/>
      <c r="F2" s="1864"/>
      <c r="G2" s="1864"/>
      <c r="H2" s="1864"/>
      <c r="I2" s="1864"/>
      <c r="J2" s="1864"/>
      <c r="K2" s="1585"/>
      <c r="L2" s="1585"/>
    </row>
    <row r="3" spans="1:12" ht="15.6">
      <c r="A3" s="1558" t="s">
        <v>1315</v>
      </c>
      <c r="B3" s="1863"/>
      <c r="C3" s="1864"/>
      <c r="D3" s="1864"/>
      <c r="E3" s="1864"/>
      <c r="F3" s="1864"/>
      <c r="G3" s="1864"/>
      <c r="H3" s="1864"/>
      <c r="I3" s="1864"/>
      <c r="J3" s="1864"/>
      <c r="K3" s="1585"/>
      <c r="L3" s="1585"/>
    </row>
    <row r="4" spans="1:12">
      <c r="A4" s="1865"/>
      <c r="B4" s="1834" t="s">
        <v>746</v>
      </c>
      <c r="C4" s="1865"/>
      <c r="D4" s="1865"/>
      <c r="E4" s="1865"/>
      <c r="F4" s="1865"/>
      <c r="G4" s="1865"/>
      <c r="H4" s="1586"/>
      <c r="I4" s="1586"/>
      <c r="J4" s="1586"/>
      <c r="K4" s="1587"/>
      <c r="L4" s="1866" t="s">
        <v>141</v>
      </c>
    </row>
    <row r="5" spans="1:12" s="1835" customFormat="1" ht="18" customHeight="1">
      <c r="A5" s="1867" t="s">
        <v>224</v>
      </c>
      <c r="B5" s="1589" t="s">
        <v>225</v>
      </c>
      <c r="C5" s="1941" t="s">
        <v>110</v>
      </c>
      <c r="D5" s="1942"/>
      <c r="E5" s="1942"/>
      <c r="F5" s="1942"/>
      <c r="G5" s="1943"/>
      <c r="H5" s="1938" t="s">
        <v>209</v>
      </c>
      <c r="I5" s="1939"/>
      <c r="J5" s="1939"/>
      <c r="K5" s="1939"/>
      <c r="L5" s="1940"/>
    </row>
    <row r="6" spans="1:12" s="1835" customFormat="1" ht="16.5" customHeight="1">
      <c r="A6" s="1589"/>
      <c r="B6" s="1589"/>
      <c r="C6" s="1589" t="s">
        <v>214</v>
      </c>
      <c r="D6" s="1589" t="s">
        <v>226</v>
      </c>
      <c r="E6" s="1589" t="s">
        <v>211</v>
      </c>
      <c r="F6" s="1589" t="s">
        <v>212</v>
      </c>
      <c r="G6" s="1589" t="s">
        <v>215</v>
      </c>
      <c r="H6" s="1589" t="s">
        <v>214</v>
      </c>
      <c r="I6" s="1589" t="s">
        <v>226</v>
      </c>
      <c r="J6" s="1589" t="s">
        <v>211</v>
      </c>
      <c r="K6" s="1589" t="s">
        <v>212</v>
      </c>
      <c r="L6" s="1589" t="s">
        <v>215</v>
      </c>
    </row>
    <row r="7" spans="1:12" s="1870" customFormat="1" ht="10.199999999999999">
      <c r="A7" s="1868">
        <v>1</v>
      </c>
      <c r="B7" s="1869">
        <v>2</v>
      </c>
      <c r="C7" s="1868">
        <v>3</v>
      </c>
      <c r="D7" s="1868">
        <v>4</v>
      </c>
      <c r="E7" s="1868">
        <v>5</v>
      </c>
      <c r="F7" s="1868">
        <v>6</v>
      </c>
      <c r="G7" s="1868">
        <v>7</v>
      </c>
      <c r="H7" s="1868">
        <v>8</v>
      </c>
      <c r="I7" s="1868">
        <v>9</v>
      </c>
      <c r="J7" s="1868">
        <v>10</v>
      </c>
      <c r="K7" s="1868">
        <v>11</v>
      </c>
      <c r="L7" s="1868">
        <v>12</v>
      </c>
    </row>
    <row r="8" spans="1:12">
      <c r="A8" s="1837" t="s">
        <v>218</v>
      </c>
      <c r="B8" s="1871" t="s">
        <v>142</v>
      </c>
      <c r="C8" s="1872">
        <v>1.9699800000000001</v>
      </c>
      <c r="D8" s="1872">
        <v>1.893</v>
      </c>
      <c r="E8" s="1872">
        <v>6.2649999999999997E-2</v>
      </c>
      <c r="F8" s="1872">
        <v>0.67415999999999998</v>
      </c>
      <c r="G8" s="1872">
        <v>5.8159999999999989E-2</v>
      </c>
      <c r="H8" s="1872">
        <v>2.822046421482193</v>
      </c>
      <c r="I8" s="1872">
        <v>2.7554464214821932</v>
      </c>
      <c r="J8" s="1872">
        <v>5.2000000000000005E-2</v>
      </c>
      <c r="K8" s="1873">
        <v>0.84554642148219317</v>
      </c>
      <c r="L8" s="1872">
        <v>7.9455311176470755E-2</v>
      </c>
    </row>
    <row r="9" spans="1:12">
      <c r="A9" s="1837" t="s">
        <v>227</v>
      </c>
      <c r="B9" s="1837" t="s">
        <v>143</v>
      </c>
      <c r="C9" s="1873"/>
      <c r="D9" s="1873"/>
      <c r="E9" s="1874">
        <v>0</v>
      </c>
      <c r="F9" s="1872">
        <v>0.65983000000000003</v>
      </c>
      <c r="G9" s="1872">
        <v>5.8159999999999989E-2</v>
      </c>
      <c r="H9" s="1875"/>
      <c r="I9" s="1873"/>
      <c r="J9" s="1874">
        <v>0</v>
      </c>
      <c r="K9" s="1873">
        <v>0.83094642148219311</v>
      </c>
      <c r="L9" s="1872">
        <v>7.9455311176470755E-2</v>
      </c>
    </row>
    <row r="10" spans="1:12">
      <c r="A10" s="1837"/>
      <c r="B10" s="1837" t="s">
        <v>158</v>
      </c>
      <c r="C10" s="1873"/>
      <c r="D10" s="1873"/>
      <c r="E10" s="1874">
        <v>0</v>
      </c>
      <c r="F10" s="1872">
        <v>0.59718000000000004</v>
      </c>
      <c r="G10" s="1872"/>
      <c r="H10" s="1875"/>
      <c r="I10" s="1873"/>
      <c r="J10" s="1874">
        <v>0</v>
      </c>
      <c r="K10" s="1873">
        <v>0.77894642148219306</v>
      </c>
      <c r="L10" s="1873"/>
    </row>
    <row r="11" spans="1:12">
      <c r="A11" s="1837"/>
      <c r="B11" s="1840" t="s">
        <v>159</v>
      </c>
      <c r="C11" s="1875">
        <v>6.2649999999999997E-2</v>
      </c>
      <c r="D11" s="1873"/>
      <c r="E11" s="1874"/>
      <c r="F11" s="1872">
        <v>6.2649999999999997E-2</v>
      </c>
      <c r="G11" s="1872"/>
      <c r="H11" s="1875">
        <v>5.2000000000000005E-2</v>
      </c>
      <c r="I11" s="1873"/>
      <c r="J11" s="1874"/>
      <c r="K11" s="1872">
        <v>5.2000000000000005E-2</v>
      </c>
      <c r="L11" s="1873"/>
    </row>
    <row r="12" spans="1:12">
      <c r="A12" s="1837"/>
      <c r="B12" s="1840" t="s">
        <v>160</v>
      </c>
      <c r="C12" s="1876">
        <v>5.8159999999999989E-2</v>
      </c>
      <c r="D12" s="1873"/>
      <c r="E12" s="1877"/>
      <c r="F12" s="1872"/>
      <c r="G12" s="1872">
        <v>5.8159999999999989E-2</v>
      </c>
      <c r="H12" s="1875">
        <v>7.9455311176470755E-2</v>
      </c>
      <c r="I12" s="1873"/>
      <c r="J12" s="1877"/>
      <c r="K12" s="1873"/>
      <c r="L12" s="1872">
        <v>7.9455311176470755E-2</v>
      </c>
    </row>
    <row r="13" spans="1:12">
      <c r="A13" s="1837" t="s">
        <v>228</v>
      </c>
      <c r="B13" s="1840" t="s">
        <v>1354</v>
      </c>
      <c r="C13" s="1875">
        <v>1.893</v>
      </c>
      <c r="D13" s="1878">
        <v>1.893</v>
      </c>
      <c r="E13" s="1875"/>
      <c r="F13" s="1873"/>
      <c r="G13" s="1873"/>
      <c r="H13" s="1875">
        <v>2.7554464214821932</v>
      </c>
      <c r="I13" s="1872">
        <v>2.7554464214821932</v>
      </c>
      <c r="J13" s="1872"/>
      <c r="K13" s="1877"/>
      <c r="L13" s="1877"/>
    </row>
    <row r="14" spans="1:12">
      <c r="A14" s="1840" t="s">
        <v>31</v>
      </c>
      <c r="B14" s="1838" t="s">
        <v>1355</v>
      </c>
      <c r="C14" s="1876">
        <v>6.2649999999999997E-2</v>
      </c>
      <c r="D14" s="1875"/>
      <c r="E14" s="1875">
        <v>6.2649999999999997E-2</v>
      </c>
      <c r="F14" s="1873"/>
      <c r="G14" s="1873"/>
      <c r="H14" s="1875">
        <v>5.2000000000000005E-2</v>
      </c>
      <c r="I14" s="1872"/>
      <c r="J14" s="1872">
        <v>5.2000000000000005E-2</v>
      </c>
      <c r="K14" s="1593"/>
      <c r="L14" s="1593"/>
    </row>
    <row r="15" spans="1:12">
      <c r="A15" s="1879" t="s">
        <v>156</v>
      </c>
      <c r="B15" s="1838" t="s">
        <v>1325</v>
      </c>
      <c r="C15" s="1876">
        <v>5.0000000000000001E-3</v>
      </c>
      <c r="D15" s="1593"/>
      <c r="E15" s="1873"/>
      <c r="F15" s="1872">
        <v>5.0000000000000001E-3</v>
      </c>
      <c r="G15" s="1873"/>
      <c r="H15" s="1876">
        <v>5.0000000000000001E-3</v>
      </c>
      <c r="I15" s="1592"/>
      <c r="J15" s="1592"/>
      <c r="K15" s="1872">
        <v>5.0000000000000001E-3</v>
      </c>
      <c r="L15" s="1593"/>
    </row>
    <row r="16" spans="1:12">
      <c r="A16" s="1879" t="s">
        <v>1270</v>
      </c>
      <c r="B16" s="1838" t="s">
        <v>1309</v>
      </c>
      <c r="C16" s="1876">
        <v>9.3299999999999998E-3</v>
      </c>
      <c r="D16" s="1593"/>
      <c r="E16" s="1873"/>
      <c r="F16" s="1872">
        <v>9.3299999999999998E-3</v>
      </c>
      <c r="G16" s="1873"/>
      <c r="H16" s="1876">
        <v>9.5999999999999992E-3</v>
      </c>
      <c r="I16" s="1592"/>
      <c r="J16" s="1592"/>
      <c r="K16" s="1872">
        <v>9.5999999999999992E-3</v>
      </c>
      <c r="L16" s="1593"/>
    </row>
    <row r="17" spans="1:13">
      <c r="A17" s="1879" t="s">
        <v>168</v>
      </c>
      <c r="B17" s="1837" t="s">
        <v>144</v>
      </c>
      <c r="C17" s="1593"/>
      <c r="D17" s="1593"/>
      <c r="E17" s="1593"/>
      <c r="F17" s="1873"/>
      <c r="G17" s="1873"/>
      <c r="H17" s="1873"/>
      <c r="I17" s="1593"/>
      <c r="J17" s="1593"/>
      <c r="K17" s="1593"/>
      <c r="L17" s="1593"/>
    </row>
    <row r="18" spans="1:13" ht="12.75" customHeight="1">
      <c r="A18" s="1837" t="s">
        <v>229</v>
      </c>
      <c r="B18" s="1838" t="s">
        <v>145</v>
      </c>
      <c r="C18" s="1872">
        <v>0.13789999999999999</v>
      </c>
      <c r="D18" s="1872">
        <v>6.2190000000000002E-2</v>
      </c>
      <c r="E18" s="1595">
        <v>0</v>
      </c>
      <c r="F18" s="1872">
        <v>7.2389999999999996E-2</v>
      </c>
      <c r="G18" s="1872">
        <v>3.32E-3</v>
      </c>
      <c r="H18" s="1872">
        <v>0.19782999999999998</v>
      </c>
      <c r="I18" s="1872">
        <v>6.7500000000000004E-2</v>
      </c>
      <c r="J18" s="1595">
        <v>0</v>
      </c>
      <c r="K18" s="1880">
        <v>0.12476</v>
      </c>
      <c r="L18" s="1880">
        <v>5.5700000000000003E-3</v>
      </c>
      <c r="M18" s="1881"/>
    </row>
    <row r="19" spans="1:13">
      <c r="A19" s="1841"/>
      <c r="B19" s="1882" t="s">
        <v>146</v>
      </c>
      <c r="C19" s="1597">
        <v>7.0000710667113371</v>
      </c>
      <c r="D19" s="1597">
        <v>3.0852614896988908</v>
      </c>
      <c r="E19" s="1595">
        <v>0</v>
      </c>
      <c r="F19" s="1597">
        <v>13.967807048771805</v>
      </c>
      <c r="G19" s="1597">
        <v>6.9983906464924361</v>
      </c>
      <c r="H19" s="1597">
        <v>7.010161083604566</v>
      </c>
      <c r="I19" s="1595">
        <v>2.489693794579058</v>
      </c>
      <c r="J19" s="1595">
        <v>0</v>
      </c>
      <c r="K19" s="1597">
        <v>15.214955710332621</v>
      </c>
      <c r="L19" s="1597">
        <v>7.0102299236220915</v>
      </c>
    </row>
    <row r="20" spans="1:13" ht="15" customHeight="1">
      <c r="A20" s="1841" t="s">
        <v>230</v>
      </c>
      <c r="B20" s="1883" t="s">
        <v>147</v>
      </c>
      <c r="C20" s="1598">
        <v>0</v>
      </c>
      <c r="D20" s="1884"/>
      <c r="E20" s="1885"/>
      <c r="F20" s="1603"/>
      <c r="G20" s="1598"/>
      <c r="H20" s="1598">
        <v>0</v>
      </c>
      <c r="I20" s="1884"/>
      <c r="J20" s="1885"/>
      <c r="K20" s="1603"/>
      <c r="L20" s="1598">
        <v>0</v>
      </c>
    </row>
    <row r="21" spans="1:13" ht="13.5" customHeight="1">
      <c r="A21" s="1886"/>
      <c r="B21" s="1887" t="s">
        <v>148</v>
      </c>
      <c r="C21" s="1601"/>
      <c r="D21" s="1888"/>
      <c r="E21" s="1889"/>
      <c r="F21" s="1890"/>
      <c r="G21" s="1601"/>
      <c r="H21" s="1601"/>
      <c r="I21" s="1888"/>
      <c r="J21" s="1889"/>
      <c r="K21" s="1890"/>
      <c r="L21" s="1601"/>
    </row>
    <row r="22" spans="1:13">
      <c r="A22" s="1841" t="s">
        <v>231</v>
      </c>
      <c r="B22" s="1891" t="s">
        <v>149</v>
      </c>
      <c r="C22" s="1892">
        <v>1.8320799999999999</v>
      </c>
      <c r="D22" s="1893">
        <v>1.23363</v>
      </c>
      <c r="E22" s="1598">
        <v>0</v>
      </c>
      <c r="F22" s="1894">
        <v>0.54361000000000004</v>
      </c>
      <c r="G22" s="1895">
        <v>5.484E-2</v>
      </c>
      <c r="H22" s="1892">
        <v>2.6242164214821933</v>
      </c>
      <c r="I22" s="1893">
        <v>1.9090000000000003</v>
      </c>
      <c r="J22" s="1896">
        <v>0</v>
      </c>
      <c r="K22" s="1894">
        <v>0.64133111030572243</v>
      </c>
      <c r="L22" s="1894">
        <v>7.3885311176470583E-2</v>
      </c>
    </row>
    <row r="23" spans="1:13">
      <c r="A23" s="1886"/>
      <c r="B23" s="1887" t="s">
        <v>150</v>
      </c>
      <c r="C23" s="1601"/>
      <c r="D23" s="1846"/>
      <c r="E23" s="1846"/>
      <c r="F23" s="1601"/>
      <c r="G23" s="1897"/>
      <c r="H23" s="1601"/>
      <c r="I23" s="1846"/>
      <c r="J23" s="1846"/>
      <c r="K23" s="1601"/>
      <c r="L23" s="1898"/>
    </row>
    <row r="24" spans="1:13" ht="52.8">
      <c r="A24" s="1899" t="s">
        <v>232</v>
      </c>
      <c r="B24" s="1838" t="s">
        <v>157</v>
      </c>
      <c r="C24" s="1596">
        <v>0</v>
      </c>
      <c r="D24" s="1596">
        <v>0</v>
      </c>
      <c r="E24" s="1596">
        <v>0</v>
      </c>
      <c r="F24" s="1596">
        <v>0</v>
      </c>
      <c r="G24" s="1596">
        <v>0</v>
      </c>
      <c r="H24" s="1596">
        <v>0</v>
      </c>
      <c r="I24" s="1596">
        <v>0</v>
      </c>
      <c r="J24" s="1596">
        <v>0</v>
      </c>
      <c r="K24" s="1596">
        <v>0</v>
      </c>
      <c r="L24" s="1596">
        <v>0</v>
      </c>
    </row>
    <row r="25" spans="1:13">
      <c r="A25" s="1850" t="s">
        <v>233</v>
      </c>
      <c r="B25" s="1841" t="s">
        <v>151</v>
      </c>
      <c r="C25" s="1603"/>
      <c r="D25" s="1599"/>
      <c r="E25" s="1603"/>
      <c r="F25" s="1599"/>
      <c r="G25" s="1599"/>
      <c r="H25" s="1603"/>
      <c r="I25" s="1599"/>
      <c r="J25" s="1603"/>
      <c r="K25" s="1900"/>
      <c r="L25" s="1599"/>
    </row>
    <row r="26" spans="1:13">
      <c r="A26" s="1901"/>
      <c r="B26" s="1886" t="s">
        <v>152</v>
      </c>
      <c r="C26" s="1890"/>
      <c r="D26" s="1848"/>
      <c r="E26" s="1890"/>
      <c r="F26" s="1848"/>
      <c r="G26" s="1848"/>
      <c r="H26" s="1890"/>
      <c r="I26" s="1848"/>
      <c r="J26" s="1890"/>
      <c r="K26" s="1902"/>
      <c r="L26" s="1848"/>
    </row>
    <row r="27" spans="1:13">
      <c r="A27" s="1845"/>
      <c r="B27" s="1844" t="s">
        <v>153</v>
      </c>
      <c r="C27" s="1604"/>
      <c r="D27" s="1601"/>
      <c r="E27" s="1604"/>
      <c r="F27" s="1601"/>
      <c r="G27" s="1601"/>
      <c r="H27" s="1604"/>
      <c r="I27" s="1601"/>
      <c r="J27" s="1604"/>
      <c r="K27" s="1903"/>
      <c r="L27" s="1601"/>
    </row>
    <row r="28" spans="1:13">
      <c r="A28" s="1837" t="s">
        <v>234</v>
      </c>
      <c r="B28" s="1837" t="s">
        <v>154</v>
      </c>
      <c r="C28" s="1876">
        <v>1.8320799999999999</v>
      </c>
      <c r="D28" s="1876">
        <v>1.23363</v>
      </c>
      <c r="E28" s="1874">
        <v>0</v>
      </c>
      <c r="F28" s="1876">
        <v>0.54361000000000004</v>
      </c>
      <c r="G28" s="1876">
        <v>5.484E-2</v>
      </c>
      <c r="H28" s="1876">
        <v>2.6242164214821933</v>
      </c>
      <c r="I28" s="1876">
        <v>1.9090000000000003</v>
      </c>
      <c r="J28" s="1874">
        <v>0</v>
      </c>
      <c r="K28" s="1876">
        <v>0.64133111030572243</v>
      </c>
      <c r="L28" s="1876">
        <v>7.3885311176470583E-2</v>
      </c>
      <c r="M28" s="1612"/>
    </row>
    <row r="29" spans="1:13" ht="36.75" customHeight="1">
      <c r="A29" s="1587"/>
      <c r="B29" s="1587"/>
      <c r="C29" s="1587"/>
      <c r="D29" s="1587"/>
      <c r="E29" s="1587"/>
      <c r="F29" s="1587"/>
      <c r="G29" s="1587"/>
      <c r="H29" s="1587"/>
      <c r="I29" s="1587"/>
      <c r="J29" s="1587"/>
      <c r="K29" s="1587"/>
      <c r="L29" s="1587"/>
    </row>
    <row r="30" spans="1:13" s="1605" customFormat="1" ht="23.25" customHeight="1">
      <c r="A30" s="1854"/>
      <c r="B30" s="1854"/>
      <c r="C30" s="1855"/>
      <c r="H30" s="1612"/>
    </row>
    <row r="31" spans="1:13" s="1605" customFormat="1" ht="15" customHeight="1">
      <c r="A31" s="1854"/>
      <c r="B31" s="1857"/>
      <c r="C31" s="1855"/>
      <c r="E31" s="1859"/>
      <c r="F31" s="1859"/>
      <c r="H31" s="1859"/>
    </row>
    <row r="32" spans="1:13" s="1557" customFormat="1" ht="45" customHeight="1">
      <c r="A32" s="1860"/>
      <c r="B32" s="1860"/>
      <c r="C32" s="1559"/>
      <c r="D32" s="1881"/>
      <c r="E32" s="1559"/>
      <c r="F32" s="1559"/>
      <c r="G32" s="1559"/>
      <c r="H32" s="1904"/>
      <c r="I32" s="1559"/>
      <c r="J32" s="1559"/>
      <c r="K32" s="1559"/>
      <c r="L32" s="1559"/>
    </row>
    <row r="33" spans="1:1">
      <c r="A33" s="1862"/>
    </row>
    <row r="34" spans="1:1">
      <c r="A34" s="1862"/>
    </row>
  </sheetData>
  <mergeCells count="2">
    <mergeCell ref="C5:G5"/>
    <mergeCell ref="H5:L5"/>
  </mergeCells>
  <phoneticPr fontId="0" type="noConversion"/>
  <printOptions horizontalCentered="1"/>
  <pageMargins left="0.74803149606299213" right="0.74803149606299213" top="0.98425196850393704" bottom="0.11811023622047245" header="0.51181102362204722" footer="3.937007874015748E-2"/>
  <pageSetup paperSize="9" scale="92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"/>
  <sheetViews>
    <sheetView zoomScaleNormal="100" zoomScaleSheetLayoutView="85" workbookViewId="0">
      <selection activeCell="K8" sqref="K8"/>
    </sheetView>
  </sheetViews>
  <sheetFormatPr defaultColWidth="9.109375" defaultRowHeight="13.2"/>
  <cols>
    <col min="1" max="1" width="10.6640625" style="1484" customWidth="1"/>
    <col min="2" max="2" width="56.33203125" style="1484" customWidth="1"/>
    <col min="3" max="3" width="11" style="1484" customWidth="1"/>
    <col min="4" max="4" width="15.109375" style="1484" customWidth="1"/>
    <col min="5" max="6" width="14.5546875" style="1484" customWidth="1"/>
    <col min="7" max="7" width="15.5546875" style="1484" customWidth="1"/>
    <col min="8" max="16384" width="9.109375" style="1484"/>
  </cols>
  <sheetData>
    <row r="1" spans="1:11">
      <c r="E1" s="1485"/>
      <c r="F1" s="1485"/>
      <c r="G1" s="1485" t="s">
        <v>1215</v>
      </c>
    </row>
    <row r="2" spans="1:11" ht="74.25" customHeight="1">
      <c r="C2" t="s">
        <v>1216</v>
      </c>
      <c r="D2"/>
      <c r="E2" s="1946"/>
      <c r="F2" s="1946"/>
    </row>
    <row r="3" spans="1:11" ht="53.25" customHeight="1">
      <c r="A3" s="1947" t="s">
        <v>1263</v>
      </c>
      <c r="B3" s="1947"/>
      <c r="C3" s="1947"/>
      <c r="D3" s="1947"/>
      <c r="E3" s="1947"/>
      <c r="F3" s="1947"/>
      <c r="H3" s="1948"/>
      <c r="I3" s="1948"/>
      <c r="J3" s="1948"/>
      <c r="K3" s="1948"/>
    </row>
    <row r="4" spans="1:11" ht="17.399999999999999">
      <c r="A4" s="1944"/>
      <c r="B4" s="1944"/>
      <c r="C4" s="1944"/>
      <c r="D4" s="1944"/>
      <c r="E4" s="1944"/>
      <c r="F4" s="1944"/>
      <c r="H4" s="1949"/>
      <c r="I4" s="1949"/>
      <c r="J4" s="1949"/>
      <c r="K4" s="1949"/>
    </row>
    <row r="5" spans="1:11" ht="17.399999999999999">
      <c r="A5" s="1945" t="s">
        <v>1217</v>
      </c>
      <c r="B5" s="1945"/>
      <c r="C5" s="1945"/>
      <c r="D5" s="1945"/>
      <c r="E5" s="1945"/>
      <c r="F5" s="1945"/>
      <c r="H5" s="1949"/>
      <c r="I5" s="1950"/>
      <c r="J5" s="1950"/>
      <c r="K5" s="1950"/>
    </row>
    <row r="6" spans="1:11" ht="15" customHeight="1">
      <c r="A6" s="1951" t="s">
        <v>1218</v>
      </c>
      <c r="B6" s="1951"/>
      <c r="C6" s="1951"/>
      <c r="D6" s="1951"/>
      <c r="E6" s="1951"/>
      <c r="F6" s="1951"/>
      <c r="H6" s="1487"/>
      <c r="I6" s="1487"/>
      <c r="J6" s="1487"/>
      <c r="K6" s="1487"/>
    </row>
    <row r="7" spans="1:11" ht="14.4">
      <c r="A7" s="1489"/>
      <c r="B7" s="1490" t="s">
        <v>1219</v>
      </c>
      <c r="C7" s="1489"/>
      <c r="D7" s="1489"/>
      <c r="E7" s="1491"/>
      <c r="F7" s="1491" t="s">
        <v>0</v>
      </c>
      <c r="G7" s="1491"/>
      <c r="H7" s="1487"/>
      <c r="I7" s="1487"/>
      <c r="J7" s="1487"/>
      <c r="K7" s="1487"/>
    </row>
    <row r="8" spans="1:11" ht="48.75" customHeight="1">
      <c r="A8" s="1950" t="s">
        <v>669</v>
      </c>
      <c r="B8" s="1950" t="s">
        <v>665</v>
      </c>
      <c r="C8" s="1950" t="s">
        <v>666</v>
      </c>
      <c r="D8" s="1952" t="s">
        <v>1212</v>
      </c>
      <c r="E8" s="1952" t="s">
        <v>1220</v>
      </c>
      <c r="F8" s="1952"/>
      <c r="G8" s="1952" t="s">
        <v>1264</v>
      </c>
    </row>
    <row r="9" spans="1:11" ht="54" customHeight="1">
      <c r="A9" s="1950"/>
      <c r="B9" s="1950"/>
      <c r="C9" s="1950"/>
      <c r="D9" s="1952"/>
      <c r="E9" s="1526" t="s">
        <v>1266</v>
      </c>
      <c r="F9" s="1526" t="s">
        <v>1267</v>
      </c>
      <c r="G9" s="1952"/>
    </row>
    <row r="10" spans="1:11" ht="15.75" customHeight="1">
      <c r="A10" s="1494">
        <v>1</v>
      </c>
      <c r="B10" s="1494">
        <v>2</v>
      </c>
      <c r="C10" s="1494">
        <v>3</v>
      </c>
      <c r="D10" s="1494">
        <v>4</v>
      </c>
      <c r="E10" s="1494">
        <v>5</v>
      </c>
      <c r="F10" s="1494">
        <v>6</v>
      </c>
      <c r="G10" s="1494" t="s">
        <v>1221</v>
      </c>
      <c r="I10" s="1486"/>
      <c r="J10" s="1486"/>
    </row>
    <row r="11" spans="1:11" ht="40.200000000000003">
      <c r="A11" s="1495">
        <v>1</v>
      </c>
      <c r="B11" s="1496" t="s">
        <v>1265</v>
      </c>
      <c r="C11" s="1497" t="s">
        <v>29</v>
      </c>
      <c r="D11" t="e">
        <f>D12+D38+D52</f>
        <v>#REF!</v>
      </c>
      <c r="E11">
        <f>E12+E38+E52</f>
        <v>102471.295</v>
      </c>
      <c r="F11" s="1511">
        <f>F12+F38+F52</f>
        <v>13274.454045069831</v>
      </c>
      <c r="G11" t="e">
        <f>F11/D11</f>
        <v>#REF!</v>
      </c>
      <c r="J11" s="1484" t="e">
        <f>'орг. Корр-ка НВВ 2014г.'!F71</f>
        <v>#REF!</v>
      </c>
    </row>
    <row r="12" spans="1:11" ht="13.8">
      <c r="A12" s="1496" t="s">
        <v>227</v>
      </c>
      <c r="B12" s="1496" t="s">
        <v>676</v>
      </c>
      <c r="C12" s="1499" t="s">
        <v>29</v>
      </c>
      <c r="D12" s="1499">
        <f>D13+D16+D19+D33</f>
        <v>1658.6654999999998</v>
      </c>
      <c r="E12" s="1482">
        <f>E13+E16+E19+E33</f>
        <v>95498.111999999994</v>
      </c>
      <c r="F12" s="1498">
        <f>F13+F16+F19+F33</f>
        <v>12309.150239572609</v>
      </c>
      <c r="G12" s="1482">
        <f t="shared" ref="G12:G19" si="0">F12/D12</f>
        <v>7.4211166986789143</v>
      </c>
      <c r="I12" s="1484">
        <f>'орг. Корр-ка НВВ 2014г.'!F45</f>
        <v>1658.6925399999998</v>
      </c>
    </row>
    <row r="13" spans="1:11">
      <c r="A13" s="1500" t="s">
        <v>39</v>
      </c>
      <c r="B13" s="1501" t="s">
        <v>677</v>
      </c>
      <c r="C13" s="1497" t="s">
        <v>29</v>
      </c>
      <c r="D13" s="1497">
        <f>'орг. Корр-ка НВВ 2014г.'!F25</f>
        <v>285.55799999999999</v>
      </c>
      <c r="E13" s="1482">
        <f>E14+E15</f>
        <v>52019</v>
      </c>
      <c r="F13" s="1498">
        <f>F14+F15</f>
        <v>7201.0355469173774</v>
      </c>
      <c r="G13" s="1482">
        <f t="shared" si="0"/>
        <v>25.217418342043921</v>
      </c>
    </row>
    <row r="14" spans="1:11">
      <c r="A14" s="1502" t="s">
        <v>678</v>
      </c>
      <c r="B14" s="1503" t="s">
        <v>679</v>
      </c>
      <c r="C14" s="1504" t="s">
        <v>29</v>
      </c>
      <c r="D14" s="1504"/>
      <c r="E14" s="1505">
        <v>14814</v>
      </c>
      <c r="F14" s="1525">
        <f>E14*($E$78+$E$77+$E$75)/$E$70</f>
        <v>2050.7149424639847</v>
      </c>
      <c r="G14" s="1505"/>
    </row>
    <row r="15" spans="1:11" ht="34.200000000000003">
      <c r="A15" s="1502" t="s">
        <v>680</v>
      </c>
      <c r="B15" s="1503" t="s">
        <v>681</v>
      </c>
      <c r="C15" s="1504" t="s">
        <v>29</v>
      </c>
      <c r="D15" s="1504">
        <v>285.60000000000002</v>
      </c>
      <c r="E15" s="1505">
        <v>37205</v>
      </c>
      <c r="F15" s="1525">
        <f>E15*($E$78+$E$77+$E$75)/$E$70</f>
        <v>5150.3206044533927</v>
      </c>
      <c r="G15" s="1505">
        <f t="shared" si="0"/>
        <v>18.033335449766781</v>
      </c>
    </row>
    <row r="16" spans="1:11" ht="17.25" customHeight="1">
      <c r="A16" s="1500" t="s">
        <v>40</v>
      </c>
      <c r="B16" s="1501" t="s">
        <v>682</v>
      </c>
      <c r="C16" s="1497" t="s">
        <v>29</v>
      </c>
      <c r="D16" s="1497">
        <f>'орг. Корр-ка НВВ 2014г.'!F26</f>
        <v>1262.0074999999999</v>
      </c>
      <c r="E16" s="1498">
        <v>33521.112000000001</v>
      </c>
      <c r="F16" s="1525">
        <f>E16*($E$78+$E$77+$E$75)/$E$70</f>
        <v>4640.3567751052242</v>
      </c>
      <c r="G16" s="1498">
        <f t="shared" si="0"/>
        <v>3.6769644991057695</v>
      </c>
    </row>
    <row r="17" spans="1:10" ht="17.25" customHeight="1">
      <c r="A17" s="1500" t="s">
        <v>1222</v>
      </c>
      <c r="B17" s="1501" t="s">
        <v>1223</v>
      </c>
      <c r="C17" s="1497" t="s">
        <v>755</v>
      </c>
      <c r="D17" s="1497">
        <v>13</v>
      </c>
      <c r="E17" s="1498">
        <v>111</v>
      </c>
      <c r="F17" s="1525">
        <f>E17*($E$78+$E$77+$E$75)/$E$70</f>
        <v>15.365826826886885</v>
      </c>
      <c r="G17" s="1498">
        <f t="shared" si="0"/>
        <v>1.1819866789912987</v>
      </c>
    </row>
    <row r="18" spans="1:10" ht="17.25" customHeight="1">
      <c r="A18" s="1500" t="s">
        <v>1224</v>
      </c>
      <c r="B18" s="1501" t="s">
        <v>1225</v>
      </c>
      <c r="C18" s="1497" t="s">
        <v>167</v>
      </c>
      <c r="D18" s="1497">
        <f>D16*1000/12/D17</f>
        <v>8089.791666666667</v>
      </c>
      <c r="E18" s="1498">
        <f>E16*1000/12/E17</f>
        <v>25166</v>
      </c>
      <c r="F18" s="1525">
        <f>F16*1000/12/F17</f>
        <v>25166</v>
      </c>
      <c r="G18" s="1498"/>
      <c r="I18" s="1484">
        <v>25166</v>
      </c>
      <c r="J18" s="1484">
        <v>3483.7513326615795</v>
      </c>
    </row>
    <row r="19" spans="1:10">
      <c r="A19" s="1500" t="s">
        <v>575</v>
      </c>
      <c r="B19" s="1501" t="s">
        <v>683</v>
      </c>
      <c r="C19" s="1497" t="s">
        <v>29</v>
      </c>
      <c r="D19" s="1497">
        <f>SUM(D20:D32)</f>
        <v>52.300000000000004</v>
      </c>
      <c r="E19" s="1482">
        <v>9958</v>
      </c>
      <c r="F19" s="1498">
        <f>F20+F21</f>
        <v>467.75791755000705</v>
      </c>
      <c r="G19" s="1482">
        <f t="shared" si="0"/>
        <v>8.943746033460938</v>
      </c>
    </row>
    <row r="20" spans="1:10">
      <c r="A20" s="1502" t="s">
        <v>684</v>
      </c>
      <c r="B20" s="1503" t="s">
        <v>685</v>
      </c>
      <c r="C20" s="1504" t="s">
        <v>29</v>
      </c>
      <c r="D20" s="1504"/>
      <c r="E20" s="1505">
        <v>3379</v>
      </c>
      <c r="F20" s="1525">
        <f>E20*($E$78+$E$77+$E$75)/$E$70</f>
        <v>467.75791755000705</v>
      </c>
      <c r="G20" s="1505"/>
    </row>
    <row r="21" spans="1:10">
      <c r="A21" s="1502" t="s">
        <v>687</v>
      </c>
      <c r="B21" s="1503" t="s">
        <v>688</v>
      </c>
      <c r="C21" s="1504" t="s">
        <v>29</v>
      </c>
      <c r="D21" s="1504"/>
      <c r="E21" s="1482">
        <v>6567</v>
      </c>
      <c r="F21" s="1505">
        <f>F22+F23+F24+F25+F26+F27</f>
        <v>0</v>
      </c>
      <c r="G21" s="1482"/>
    </row>
    <row r="22" spans="1:10">
      <c r="A22" s="1506" t="s">
        <v>689</v>
      </c>
      <c r="B22" s="1507" t="s">
        <v>690</v>
      </c>
      <c r="C22" s="1504" t="s">
        <v>29</v>
      </c>
      <c r="D22" s="1504"/>
      <c r="E22" s="1508"/>
      <c r="F22" s="1525">
        <f>E22*($E$78+$E$77+$E$75)/$E$70</f>
        <v>0</v>
      </c>
      <c r="G22" s="1508"/>
    </row>
    <row r="23" spans="1:10" ht="22.8">
      <c r="A23" s="1506" t="s">
        <v>691</v>
      </c>
      <c r="B23" s="1507" t="s">
        <v>692</v>
      </c>
      <c r="C23" s="1504" t="s">
        <v>29</v>
      </c>
      <c r="D23" s="1504"/>
      <c r="E23" s="1505"/>
      <c r="F23" s="1525">
        <f t="shared" ref="F23:F36" si="1">E23*($E$78+$E$77+$E$75)/$E$70</f>
        <v>0</v>
      </c>
      <c r="G23" s="1505"/>
    </row>
    <row r="24" spans="1:10">
      <c r="A24" s="1506" t="s">
        <v>693</v>
      </c>
      <c r="B24" s="1507" t="s">
        <v>694</v>
      </c>
      <c r="C24" s="1504" t="s">
        <v>29</v>
      </c>
      <c r="D24" s="1504"/>
      <c r="E24" s="1505"/>
      <c r="F24" s="1525">
        <f t="shared" si="1"/>
        <v>0</v>
      </c>
      <c r="G24" s="1505"/>
    </row>
    <row r="25" spans="1:10">
      <c r="A25" s="1506" t="s">
        <v>695</v>
      </c>
      <c r="B25" s="1507" t="s">
        <v>696</v>
      </c>
      <c r="C25" s="1504" t="s">
        <v>29</v>
      </c>
      <c r="D25" s="1504"/>
      <c r="E25" s="1505"/>
      <c r="F25" s="1525">
        <f t="shared" si="1"/>
        <v>0</v>
      </c>
      <c r="G25" s="1505"/>
    </row>
    <row r="26" spans="1:10">
      <c r="A26" s="1506" t="s">
        <v>697</v>
      </c>
      <c r="B26" s="1507" t="s">
        <v>698</v>
      </c>
      <c r="C26" s="1504" t="s">
        <v>29</v>
      </c>
      <c r="D26" s="1504"/>
      <c r="E26" s="1505"/>
      <c r="F26" s="1525">
        <f t="shared" si="1"/>
        <v>0</v>
      </c>
      <c r="G26" s="1505"/>
    </row>
    <row r="27" spans="1:10">
      <c r="A27" s="1506" t="s">
        <v>699</v>
      </c>
      <c r="B27" s="1509" t="s">
        <v>700</v>
      </c>
      <c r="C27" s="1504" t="s">
        <v>29</v>
      </c>
      <c r="D27" s="1504"/>
      <c r="E27" s="1505"/>
      <c r="F27" s="1525">
        <f t="shared" si="1"/>
        <v>0</v>
      </c>
      <c r="G27" s="1505"/>
    </row>
    <row r="28" spans="1:10">
      <c r="A28" s="1502" t="s">
        <v>702</v>
      </c>
      <c r="B28" s="1503" t="s">
        <v>703</v>
      </c>
      <c r="C28" s="1504" t="s">
        <v>29</v>
      </c>
      <c r="D28" s="1504"/>
      <c r="E28" s="1505"/>
      <c r="F28" s="1525">
        <f t="shared" si="1"/>
        <v>0</v>
      </c>
      <c r="G28" s="1505"/>
    </row>
    <row r="29" spans="1:10">
      <c r="A29" s="1502" t="s">
        <v>704</v>
      </c>
      <c r="B29" s="1503" t="s">
        <v>705</v>
      </c>
      <c r="C29" s="1504" t="s">
        <v>29</v>
      </c>
      <c r="D29" s="1504"/>
      <c r="E29" s="1505"/>
      <c r="F29" s="1525">
        <f t="shared" si="1"/>
        <v>0</v>
      </c>
      <c r="G29" s="1505"/>
    </row>
    <row r="30" spans="1:10" ht="28.5" customHeight="1">
      <c r="A30" s="1502" t="s">
        <v>706</v>
      </c>
      <c r="B30" s="1503" t="s">
        <v>707</v>
      </c>
      <c r="C30" s="1504" t="s">
        <v>29</v>
      </c>
      <c r="D30" s="1504"/>
      <c r="E30" s="1505"/>
      <c r="F30" s="1525">
        <f t="shared" si="1"/>
        <v>0</v>
      </c>
      <c r="G30" s="1505"/>
    </row>
    <row r="31" spans="1:10">
      <c r="A31" s="1502" t="s">
        <v>709</v>
      </c>
      <c r="B31" s="1503" t="s">
        <v>710</v>
      </c>
      <c r="C31" s="1504" t="s">
        <v>29</v>
      </c>
      <c r="D31" s="1504"/>
      <c r="E31" s="1525"/>
      <c r="F31" s="1525">
        <f>E31*($E$78+$E$77+$E$75)/$E$70</f>
        <v>0</v>
      </c>
      <c r="G31" s="1525"/>
    </row>
    <row r="32" spans="1:10">
      <c r="A32" s="1502" t="s">
        <v>711</v>
      </c>
      <c r="B32" s="1503" t="s">
        <v>1192</v>
      </c>
      <c r="C32" s="1504" t="s">
        <v>29</v>
      </c>
      <c r="D32" s="1504">
        <f>'орг. Корр-ка НВВ 2014г.'!F40</f>
        <v>52.300000000000004</v>
      </c>
      <c r="E32" s="1525"/>
      <c r="F32" s="1525">
        <f t="shared" si="1"/>
        <v>0</v>
      </c>
      <c r="G32" s="1525"/>
    </row>
    <row r="33" spans="1:9">
      <c r="A33" s="1500" t="s">
        <v>576</v>
      </c>
      <c r="B33" s="1510" t="s">
        <v>712</v>
      </c>
      <c r="C33" s="1497" t="s">
        <v>29</v>
      </c>
      <c r="D33" s="1497">
        <v>58.8</v>
      </c>
      <c r="E33" s="1482">
        <f>E34+E35+E36</f>
        <v>0</v>
      </c>
      <c r="F33" s="1511">
        <f>F34+F35+F36</f>
        <v>0</v>
      </c>
      <c r="G33" s="1482"/>
    </row>
    <row r="34" spans="1:9">
      <c r="A34" s="1502" t="s">
        <v>713</v>
      </c>
      <c r="B34" s="1503" t="s">
        <v>714</v>
      </c>
      <c r="C34" s="1504" t="s">
        <v>29</v>
      </c>
      <c r="D34" s="1504"/>
      <c r="E34" s="1525"/>
      <c r="F34" s="1525">
        <f t="shared" si="1"/>
        <v>0</v>
      </c>
      <c r="G34" s="1525"/>
    </row>
    <row r="35" spans="1:9">
      <c r="A35" s="1502" t="s">
        <v>715</v>
      </c>
      <c r="B35" s="1503" t="s">
        <v>716</v>
      </c>
      <c r="C35" s="1504" t="s">
        <v>29</v>
      </c>
      <c r="D35" s="1504">
        <f>'орг. Корр-ка НВВ 2014г.'!F43</f>
        <v>58.827040000000004</v>
      </c>
      <c r="E35" s="1525"/>
      <c r="F35" s="1525">
        <f t="shared" si="1"/>
        <v>0</v>
      </c>
      <c r="G35" s="1525"/>
    </row>
    <row r="36" spans="1:9" ht="18" customHeight="1">
      <c r="A36" s="1502" t="s">
        <v>717</v>
      </c>
      <c r="B36" s="1503" t="s">
        <v>718</v>
      </c>
      <c r="C36" s="1504" t="s">
        <v>29</v>
      </c>
      <c r="D36" s="1504"/>
      <c r="E36" s="1525"/>
      <c r="F36" s="1525">
        <f t="shared" si="1"/>
        <v>0</v>
      </c>
      <c r="G36" s="1525"/>
    </row>
    <row r="37" spans="1:9" ht="9.75" customHeight="1">
      <c r="A37" s="1953"/>
      <c r="B37" s="1953"/>
      <c r="C37" s="1953"/>
      <c r="D37" s="1953"/>
      <c r="E37" s="1953"/>
      <c r="F37" s="1512"/>
      <c r="G37"/>
    </row>
    <row r="38" spans="1:9" ht="13.8">
      <c r="A38" s="1496" t="s">
        <v>228</v>
      </c>
      <c r="B38" s="1496" t="s">
        <v>719</v>
      </c>
      <c r="C38" s="1496" t="s">
        <v>29</v>
      </c>
      <c r="D38" s="1496" t="e">
        <f>D39+D40+D41+D42+D43+D47+D48+D49+D50+D51</f>
        <v>#REF!</v>
      </c>
      <c r="E38" s="1482">
        <f>E39+E40+E41+E42+E43+E47+E48+E49+E50+E51+E52</f>
        <v>6973.183</v>
      </c>
      <c r="F38" s="1511">
        <f>F39+F40+F41+F42+F43+F47+F48+F49+F50+F51+F52</f>
        <v>965.30380549722133</v>
      </c>
      <c r="G38" s="1482" t="e">
        <f>F38/D38</f>
        <v>#REF!</v>
      </c>
      <c r="I38" s="1484" t="e">
        <f>'орг. Корр-ка НВВ 2014г.'!F62</f>
        <v>#REF!</v>
      </c>
    </row>
    <row r="39" spans="1:9">
      <c r="A39" s="1500" t="s">
        <v>579</v>
      </c>
      <c r="B39" s="1513" t="s">
        <v>720</v>
      </c>
      <c r="C39" s="1497" t="s">
        <v>29</v>
      </c>
      <c r="D39" s="1497"/>
      <c r="E39" s="1525"/>
      <c r="F39" s="1525">
        <f t="shared" ref="F39:F52" si="2">E39*($E$78+$E$77+$E$75)/$E$70</f>
        <v>0</v>
      </c>
      <c r="G39" s="1525"/>
    </row>
    <row r="40" spans="1:9">
      <c r="A40" s="1500" t="s">
        <v>580</v>
      </c>
      <c r="B40" s="1513" t="s">
        <v>721</v>
      </c>
      <c r="C40" s="1497" t="s">
        <v>29</v>
      </c>
      <c r="D40" s="1497"/>
      <c r="E40" s="1525"/>
      <c r="F40" s="1525">
        <f t="shared" si="2"/>
        <v>0</v>
      </c>
      <c r="G40" s="1525"/>
    </row>
    <row r="41" spans="1:9">
      <c r="A41" s="1500" t="s">
        <v>581</v>
      </c>
      <c r="B41" s="1513" t="s">
        <v>194</v>
      </c>
      <c r="C41" s="1497" t="s">
        <v>29</v>
      </c>
      <c r="D41" s="1497"/>
      <c r="E41" s="1525"/>
      <c r="F41" s="1525">
        <f t="shared" si="2"/>
        <v>0</v>
      </c>
      <c r="G41" s="1525"/>
    </row>
    <row r="42" spans="1:9">
      <c r="A42" s="1500" t="s">
        <v>722</v>
      </c>
      <c r="B42" s="1513" t="s">
        <v>723</v>
      </c>
      <c r="C42" s="1497" t="s">
        <v>29</v>
      </c>
      <c r="D42" s="1497"/>
      <c r="E42" s="1525"/>
      <c r="F42" s="1525">
        <f t="shared" si="2"/>
        <v>0</v>
      </c>
      <c r="G42" s="1525"/>
    </row>
    <row r="43" spans="1:9">
      <c r="A43" s="1500" t="s">
        <v>724</v>
      </c>
      <c r="B43" s="1514" t="s">
        <v>1226</v>
      </c>
      <c r="C43" s="1497" t="s">
        <v>29</v>
      </c>
      <c r="D43" s="1497" t="e">
        <f>SUM(D44:D46)</f>
        <v>#REF!</v>
      </c>
      <c r="E43" s="1482">
        <f>E44+E45+E46</f>
        <v>0</v>
      </c>
      <c r="F43" s="1525">
        <f t="shared" si="2"/>
        <v>0</v>
      </c>
      <c r="G43" s="1482"/>
    </row>
    <row r="44" spans="1:9">
      <c r="A44" s="1502" t="s">
        <v>726</v>
      </c>
      <c r="B44" s="1503" t="s">
        <v>727</v>
      </c>
      <c r="C44" s="1504" t="s">
        <v>29</v>
      </c>
      <c r="D44" s="1504"/>
      <c r="E44" s="1525"/>
      <c r="F44" s="1525">
        <f t="shared" si="2"/>
        <v>0</v>
      </c>
      <c r="G44" s="1525"/>
    </row>
    <row r="45" spans="1:9">
      <c r="A45" s="1502" t="s">
        <v>728</v>
      </c>
      <c r="B45" s="1503" t="s">
        <v>729</v>
      </c>
      <c r="C45" s="1504" t="s">
        <v>29</v>
      </c>
      <c r="D45" s="1504" t="e">
        <f>'орг. Корр-ка НВВ 2014г.'!F54</f>
        <v>#REF!</v>
      </c>
      <c r="E45" s="1482">
        <v>0</v>
      </c>
      <c r="F45" s="1525">
        <f t="shared" si="2"/>
        <v>0</v>
      </c>
      <c r="G45" s="1482"/>
    </row>
    <row r="46" spans="1:9">
      <c r="A46" s="1502" t="s">
        <v>730</v>
      </c>
      <c r="B46" s="1503" t="s">
        <v>731</v>
      </c>
      <c r="C46" s="1504" t="s">
        <v>29</v>
      </c>
      <c r="D46" s="1504"/>
      <c r="E46" s="1525"/>
      <c r="F46" s="1525">
        <f t="shared" si="2"/>
        <v>0</v>
      </c>
      <c r="G46" s="1525"/>
    </row>
    <row r="47" spans="1:9">
      <c r="A47" s="1500" t="s">
        <v>733</v>
      </c>
      <c r="B47" s="1513" t="s">
        <v>734</v>
      </c>
      <c r="C47" s="1497" t="s">
        <v>29</v>
      </c>
      <c r="D47" s="1497">
        <f>'орг. Корр-ка НВВ 2014г.'!F56</f>
        <v>450.5</v>
      </c>
      <c r="E47" s="1525">
        <v>4692.9560000000001</v>
      </c>
      <c r="F47" s="1525">
        <f t="shared" si="2"/>
        <v>649.64999281261055</v>
      </c>
      <c r="G47" s="1525">
        <f>F47/D47</f>
        <v>1.4420643569647293</v>
      </c>
    </row>
    <row r="48" spans="1:9">
      <c r="A48" s="1500" t="s">
        <v>735</v>
      </c>
      <c r="B48" s="1513" t="s">
        <v>736</v>
      </c>
      <c r="C48" s="1497" t="s">
        <v>29</v>
      </c>
      <c r="D48" s="1497">
        <f>'орг. Корр-ка НВВ 2014г.'!F60</f>
        <v>80.599999999999994</v>
      </c>
      <c r="E48" s="1525">
        <v>2280.2269999999999</v>
      </c>
      <c r="F48" s="1525">
        <f t="shared" si="2"/>
        <v>315.65381268461078</v>
      </c>
      <c r="G48" s="1525">
        <f>F48/D48</f>
        <v>3.9163004055162629</v>
      </c>
    </row>
    <row r="49" spans="1:7">
      <c r="A49" s="1500" t="s">
        <v>737</v>
      </c>
      <c r="B49" s="1513" t="s">
        <v>738</v>
      </c>
      <c r="C49" s="1497" t="s">
        <v>29</v>
      </c>
      <c r="D49" s="1497"/>
      <c r="E49" s="1525"/>
      <c r="F49" s="1525">
        <f t="shared" si="2"/>
        <v>0</v>
      </c>
      <c r="G49" s="1525"/>
    </row>
    <row r="50" spans="1:7">
      <c r="A50" s="1500" t="s">
        <v>739</v>
      </c>
      <c r="B50" s="1513" t="s">
        <v>740</v>
      </c>
      <c r="C50" s="1497" t="s">
        <v>29</v>
      </c>
      <c r="D50" s="1497"/>
      <c r="E50" s="1525"/>
      <c r="F50" s="1525">
        <f t="shared" si="2"/>
        <v>0</v>
      </c>
      <c r="G50" s="1525"/>
    </row>
    <row r="51" spans="1:7">
      <c r="A51" s="1500" t="s">
        <v>742</v>
      </c>
      <c r="B51" s="1513" t="s">
        <v>743</v>
      </c>
      <c r="C51" s="1497" t="s">
        <v>29</v>
      </c>
      <c r="D51" s="1497">
        <f>'орг. Корр-ка НВВ 2014г.'!F58</f>
        <v>14.706760000000001</v>
      </c>
      <c r="E51" s="1525"/>
      <c r="F51" s="1525">
        <f t="shared" si="2"/>
        <v>0</v>
      </c>
      <c r="G51" s="1525"/>
    </row>
    <row r="52" spans="1:7" ht="22.8">
      <c r="A52" s="1500" t="s">
        <v>744</v>
      </c>
      <c r="B52" s="1513" t="s">
        <v>1262</v>
      </c>
      <c r="C52" s="1497" t="s">
        <v>29</v>
      </c>
      <c r="D52" s="1497">
        <f>'орг. Корр-ка НВВ 2014г.'!F65</f>
        <v>515</v>
      </c>
      <c r="E52" s="1525"/>
      <c r="F52" s="1525">
        <f t="shared" si="2"/>
        <v>0</v>
      </c>
      <c r="G52" s="1525"/>
    </row>
    <row r="53" spans="1:7" ht="26.4">
      <c r="A53" s="1512">
        <v>2</v>
      </c>
      <c r="B53" s="1515" t="s">
        <v>1227</v>
      </c>
      <c r="C53" s="1497" t="s">
        <v>29</v>
      </c>
      <c r="D53" s="1497"/>
      <c r="E53" s="1516" t="s">
        <v>645</v>
      </c>
      <c r="F53" s="1525">
        <v>2259</v>
      </c>
      <c r="G53" s="1516"/>
    </row>
    <row r="54" spans="1:7" ht="14.4">
      <c r="A54" s="1517">
        <v>3</v>
      </c>
      <c r="B54" s="1518" t="s">
        <v>1228</v>
      </c>
      <c r="C54" s="1497" t="s">
        <v>29</v>
      </c>
      <c r="D54" s="1497"/>
      <c r="E54" s="1516" t="s">
        <v>645</v>
      </c>
      <c r="F54" s="1525">
        <f>SUM(F55:F56)</f>
        <v>12685.704</v>
      </c>
      <c r="G54" s="1516"/>
    </row>
    <row r="55" spans="1:7">
      <c r="A55" s="1519" t="s">
        <v>235</v>
      </c>
      <c r="B55" s="1520" t="s">
        <v>1080</v>
      </c>
      <c r="C55" s="1497" t="s">
        <v>29</v>
      </c>
      <c r="D55" s="1497"/>
      <c r="E55" s="1516" t="s">
        <v>645</v>
      </c>
      <c r="F55" s="1525">
        <v>8.6920000000000002</v>
      </c>
      <c r="G55" s="1516"/>
    </row>
    <row r="56" spans="1:7" ht="13.95" customHeight="1">
      <c r="A56" s="1519" t="s">
        <v>42</v>
      </c>
      <c r="B56" s="1520" t="s">
        <v>324</v>
      </c>
      <c r="C56" s="1497" t="s">
        <v>29</v>
      </c>
      <c r="D56" s="1497"/>
      <c r="E56" s="1516" t="s">
        <v>645</v>
      </c>
      <c r="F56" s="1525">
        <v>12677.012000000001</v>
      </c>
      <c r="G56" s="1516"/>
    </row>
    <row r="57" spans="1:7">
      <c r="A57" s="1517" t="s">
        <v>1229</v>
      </c>
      <c r="B57" s="1521"/>
      <c r="C57" s="1497" t="s">
        <v>29</v>
      </c>
      <c r="D57" s="1497"/>
      <c r="E57" s="1516" t="s">
        <v>645</v>
      </c>
      <c r="F57" s="1525"/>
      <c r="G57" s="1516"/>
    </row>
    <row r="58" spans="1:7" ht="14.4">
      <c r="A58" s="1512">
        <v>4</v>
      </c>
      <c r="B58" s="1522" t="s">
        <v>1230</v>
      </c>
      <c r="C58" s="1497" t="s">
        <v>29</v>
      </c>
      <c r="D58" s="1497"/>
      <c r="E58" s="1516" t="s">
        <v>645</v>
      </c>
      <c r="F58" s="1525">
        <f>SUM(F59:F60)</f>
        <v>4942.9339999999993</v>
      </c>
      <c r="G58" s="1516"/>
    </row>
    <row r="59" spans="1:7">
      <c r="A59" s="1512" t="s">
        <v>232</v>
      </c>
      <c r="B59" s="1520" t="s">
        <v>1231</v>
      </c>
      <c r="C59" s="1497" t="s">
        <v>29</v>
      </c>
      <c r="D59" s="1497"/>
      <c r="E59" s="1516" t="s">
        <v>645</v>
      </c>
      <c r="F59" s="1525">
        <v>569.83299999999997</v>
      </c>
      <c r="G59" s="1516"/>
    </row>
    <row r="60" spans="1:7">
      <c r="A60" s="1512" t="s">
        <v>233</v>
      </c>
      <c r="B60" s="1520" t="s">
        <v>350</v>
      </c>
      <c r="C60" s="1497" t="s">
        <v>29</v>
      </c>
      <c r="D60" s="1497"/>
      <c r="E60" s="1516" t="s">
        <v>645</v>
      </c>
      <c r="F60" s="1525">
        <v>4373.1009999999997</v>
      </c>
      <c r="G60" s="1516"/>
    </row>
    <row r="61" spans="1:7">
      <c r="A61" s="1512" t="s">
        <v>1232</v>
      </c>
      <c r="B61" s="1520"/>
      <c r="C61" s="1497" t="s">
        <v>29</v>
      </c>
      <c r="D61" s="1497"/>
      <c r="E61" s="1516" t="s">
        <v>645</v>
      </c>
      <c r="F61" s="1525"/>
      <c r="G61" s="1516"/>
    </row>
    <row r="62" spans="1:7" ht="14.4">
      <c r="A62" s="1512">
        <v>5</v>
      </c>
      <c r="B62" s="1518" t="s">
        <v>1233</v>
      </c>
      <c r="C62" s="1497" t="s">
        <v>29</v>
      </c>
      <c r="D62" s="1497"/>
      <c r="E62" s="1516" t="s">
        <v>645</v>
      </c>
      <c r="F62" s="1525">
        <v>15183.061</v>
      </c>
      <c r="G62" s="1516"/>
    </row>
    <row r="63" spans="1:7" ht="32.25" customHeight="1">
      <c r="A63" s="1512">
        <v>6</v>
      </c>
      <c r="B63" s="1518" t="s">
        <v>1234</v>
      </c>
      <c r="C63" s="1518" t="s">
        <v>667</v>
      </c>
      <c r="D63" s="1518"/>
      <c r="E63" s="1525">
        <v>1744.4970000000001</v>
      </c>
      <c r="F63" s="1525">
        <v>577.29700000000003</v>
      </c>
      <c r="G63" s="1525"/>
    </row>
    <row r="64" spans="1:7" ht="14.4">
      <c r="A64" s="1512">
        <v>7</v>
      </c>
      <c r="B64" s="1518" t="s">
        <v>1235</v>
      </c>
      <c r="C64" s="1518" t="s">
        <v>1236</v>
      </c>
      <c r="D64" s="1518"/>
      <c r="E64" s="1525">
        <v>88.87</v>
      </c>
      <c r="F64" s="1525">
        <v>16.079999999999998</v>
      </c>
      <c r="G64" s="1525"/>
    </row>
    <row r="65" spans="1:10" ht="14.4">
      <c r="A65" s="1512" t="s">
        <v>1237</v>
      </c>
      <c r="B65" s="1518" t="s">
        <v>1238</v>
      </c>
      <c r="C65" s="1518" t="s">
        <v>1236</v>
      </c>
      <c r="D65" s="1518"/>
      <c r="E65" s="1953">
        <v>88.87</v>
      </c>
      <c r="F65" s="1953"/>
      <c r="G65" s="1525"/>
    </row>
    <row r="66" spans="1:10" ht="14.4">
      <c r="A66" s="1512">
        <v>8</v>
      </c>
      <c r="B66" s="1523" t="s">
        <v>1239</v>
      </c>
      <c r="C66" s="1518" t="s">
        <v>1240</v>
      </c>
      <c r="D66" s="1518"/>
      <c r="E66" s="1953">
        <v>0</v>
      </c>
      <c r="F66" s="1953"/>
      <c r="G66" s="1525"/>
    </row>
    <row r="67" spans="1:10" ht="14.4">
      <c r="A67" s="1512">
        <v>9</v>
      </c>
      <c r="B67" s="1523" t="s">
        <v>1241</v>
      </c>
      <c r="C67" s="1518" t="s">
        <v>1240</v>
      </c>
      <c r="D67" s="1518"/>
      <c r="E67" s="1953">
        <v>0</v>
      </c>
      <c r="F67" s="1953"/>
      <c r="G67" s="1525"/>
    </row>
    <row r="68" spans="1:10" ht="14.4">
      <c r="A68" s="1512">
        <v>10</v>
      </c>
      <c r="B68" s="1523" t="s">
        <v>1242</v>
      </c>
      <c r="C68" s="1518" t="s">
        <v>32</v>
      </c>
      <c r="D68" s="1518"/>
      <c r="E68" s="1953">
        <v>70</v>
      </c>
      <c r="F68" s="1953"/>
      <c r="G68" s="1525"/>
    </row>
    <row r="69" spans="1:10" ht="14.4">
      <c r="A69" s="1512">
        <v>11</v>
      </c>
      <c r="B69" s="1523" t="s">
        <v>1243</v>
      </c>
      <c r="C69" s="1518" t="s">
        <v>32</v>
      </c>
      <c r="D69" s="1518"/>
      <c r="E69" s="1953">
        <v>100</v>
      </c>
      <c r="F69" s="1953"/>
      <c r="G69" s="1525"/>
    </row>
    <row r="70" spans="1:10" ht="14.4">
      <c r="A70" s="1512">
        <v>12</v>
      </c>
      <c r="B70" s="1518" t="s">
        <v>1016</v>
      </c>
      <c r="C70" s="1518" t="s">
        <v>1244</v>
      </c>
      <c r="D70" s="1518"/>
      <c r="E70" s="1953">
        <v>155503.47</v>
      </c>
      <c r="F70" s="1953"/>
      <c r="G70" s="1525"/>
    </row>
    <row r="71" spans="1:10" ht="14.4">
      <c r="A71" s="1512">
        <v>13</v>
      </c>
      <c r="B71" s="1518" t="s">
        <v>1245</v>
      </c>
      <c r="C71" s="1518" t="s">
        <v>1244</v>
      </c>
      <c r="D71" s="1518"/>
      <c r="E71" s="1953"/>
      <c r="F71" s="1953"/>
      <c r="G71" s="1525"/>
    </row>
    <row r="72" spans="1:10" ht="14.4">
      <c r="A72" s="1512">
        <v>14</v>
      </c>
      <c r="B72" s="1518" t="s">
        <v>1246</v>
      </c>
      <c r="C72" s="1518" t="s">
        <v>1244</v>
      </c>
      <c r="D72" s="1518"/>
      <c r="E72" s="1953">
        <v>1357.3589999999999</v>
      </c>
      <c r="F72" s="1953"/>
      <c r="G72" s="1525"/>
    </row>
    <row r="73" spans="1:10" ht="14.4">
      <c r="A73" s="1512"/>
      <c r="B73" s="1518" t="s">
        <v>45</v>
      </c>
      <c r="C73" s="1518"/>
      <c r="D73" s="1518"/>
      <c r="E73" s="1953"/>
      <c r="F73" s="1953"/>
      <c r="G73" s="1525"/>
    </row>
    <row r="74" spans="1:10" ht="14.4">
      <c r="A74" s="1524" t="s">
        <v>165</v>
      </c>
      <c r="B74" s="1518" t="s">
        <v>1247</v>
      </c>
      <c r="C74" s="1518" t="s">
        <v>1244</v>
      </c>
      <c r="D74" s="1518"/>
      <c r="E74" s="1953">
        <v>0</v>
      </c>
      <c r="F74" s="1953"/>
      <c r="G74" s="1525"/>
      <c r="J74" s="1492"/>
    </row>
    <row r="75" spans="1:10" ht="14.4">
      <c r="A75" s="1524" t="s">
        <v>1248</v>
      </c>
      <c r="B75" s="1518" t="s">
        <v>1249</v>
      </c>
      <c r="C75" s="1518" t="s">
        <v>1244</v>
      </c>
      <c r="D75" s="1518"/>
      <c r="E75" s="1953">
        <v>1357.3589999999999</v>
      </c>
      <c r="F75" s="1953"/>
      <c r="G75" s="1525"/>
      <c r="J75" s="1492"/>
    </row>
    <row r="76" spans="1:10" ht="14.4">
      <c r="A76" s="1512">
        <v>15</v>
      </c>
      <c r="B76" s="1518" t="s">
        <v>759</v>
      </c>
      <c r="C76" s="1518" t="s">
        <v>1244</v>
      </c>
      <c r="D76" s="1518"/>
      <c r="E76" s="1953">
        <v>133976.989</v>
      </c>
      <c r="F76" s="1953"/>
      <c r="G76" s="1525"/>
    </row>
    <row r="77" spans="1:10" ht="14.4">
      <c r="A77" s="1512">
        <v>16</v>
      </c>
      <c r="B77" s="1518" t="s">
        <v>1027</v>
      </c>
      <c r="C77" s="1518" t="s">
        <v>1244</v>
      </c>
      <c r="D77" s="1518"/>
      <c r="E77" s="1953">
        <v>11789.017</v>
      </c>
      <c r="F77" s="1953"/>
      <c r="G77" s="1525"/>
      <c r="I77" s="1484">
        <f>(E78+E77+E75)/E70</f>
        <v>0.13843087231429627</v>
      </c>
    </row>
    <row r="78" spans="1:10" ht="14.4">
      <c r="A78" s="1512">
        <v>17</v>
      </c>
      <c r="B78" s="1518" t="s">
        <v>1250</v>
      </c>
      <c r="C78" s="1518" t="s">
        <v>1244</v>
      </c>
      <c r="D78" s="1518"/>
      <c r="E78" s="1953">
        <v>8380.1049999999996</v>
      </c>
      <c r="F78" s="1953"/>
      <c r="G78" s="1525"/>
    </row>
    <row r="79" spans="1:10" ht="21" customHeight="1"/>
    <row r="80" spans="1:10" ht="21" customHeight="1">
      <c r="B80" s="1949" t="s">
        <v>1251</v>
      </c>
      <c r="C80" s="1949"/>
      <c r="D80" s="1488"/>
      <c r="E80" s="1946" t="s">
        <v>1252</v>
      </c>
      <c r="F80" s="1946"/>
    </row>
    <row r="81" spans="2:7" ht="21" customHeight="1">
      <c r="B81" s="1954" t="s">
        <v>1253</v>
      </c>
      <c r="C81" s="1954"/>
      <c r="D81" s="1493"/>
      <c r="E81" s="1954" t="s">
        <v>1254</v>
      </c>
      <c r="F81" s="1954"/>
    </row>
    <row r="82" spans="2:7" ht="21" customHeight="1">
      <c r="B82" s="1946" t="s">
        <v>1255</v>
      </c>
      <c r="C82" s="1946"/>
      <c r="D82" s="1486"/>
    </row>
    <row r="83" spans="2:7" ht="21" customHeight="1">
      <c r="B83" s="1946" t="s">
        <v>1256</v>
      </c>
      <c r="C83" s="1946"/>
      <c r="D83" s="1486"/>
      <c r="E83" s="1484" t="s">
        <v>1257</v>
      </c>
      <c r="F83" s="1486" t="s">
        <v>1257</v>
      </c>
      <c r="G83" s="1484" t="s">
        <v>1257</v>
      </c>
    </row>
    <row r="84" spans="2:7" ht="21" customHeight="1">
      <c r="B84" s="1954" t="s">
        <v>1258</v>
      </c>
      <c r="C84" s="1954"/>
      <c r="D84" s="1493"/>
      <c r="E84" s="1493" t="s">
        <v>1259</v>
      </c>
      <c r="F84" s="1493" t="s">
        <v>1254</v>
      </c>
      <c r="G84" s="1493" t="s">
        <v>1254</v>
      </c>
    </row>
    <row r="85" spans="2:7" ht="21" customHeight="1">
      <c r="B85" s="1946" t="s">
        <v>1260</v>
      </c>
      <c r="C85" s="1946"/>
      <c r="D85" s="1486"/>
      <c r="E85" s="1486"/>
      <c r="G85" s="1486"/>
    </row>
    <row r="86" spans="2:7" ht="21" customHeight="1">
      <c r="B86" s="1954" t="s">
        <v>1261</v>
      </c>
      <c r="C86" s="1954"/>
      <c r="D86" s="1493"/>
      <c r="E86" s="1493"/>
      <c r="G86" s="1493"/>
    </row>
    <row r="87" spans="2:7" ht="21" customHeight="1"/>
  </sheetData>
  <mergeCells count="38">
    <mergeCell ref="B82:C82"/>
    <mergeCell ref="B83:C83"/>
    <mergeCell ref="B84:C84"/>
    <mergeCell ref="B85:C85"/>
    <mergeCell ref="B86:C86"/>
    <mergeCell ref="E67:F67"/>
    <mergeCell ref="E68:F68"/>
    <mergeCell ref="E69:F69"/>
    <mergeCell ref="B81:C81"/>
    <mergeCell ref="E81:F81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B80:C80"/>
    <mergeCell ref="E80:F80"/>
    <mergeCell ref="G8:G9"/>
    <mergeCell ref="D8:D9"/>
    <mergeCell ref="A37:E37"/>
    <mergeCell ref="E65:F65"/>
    <mergeCell ref="E66:F66"/>
    <mergeCell ref="A6:F6"/>
    <mergeCell ref="A8:A9"/>
    <mergeCell ref="B8:B9"/>
    <mergeCell ref="C8:C9"/>
    <mergeCell ref="E8:F8"/>
    <mergeCell ref="A4:F4"/>
    <mergeCell ref="A5:F5"/>
    <mergeCell ref="E2:F2"/>
    <mergeCell ref="A3:F3"/>
    <mergeCell ref="H3:K3"/>
    <mergeCell ref="H4:K4"/>
    <mergeCell ref="H5:K5"/>
  </mergeCells>
  <printOptions horizontalCentered="1"/>
  <pageMargins left="0.78740157480314965" right="0.19685039370078741" top="0.19685039370078741" bottom="0.19685039370078741" header="0.51181102362204722" footer="0.19685039370078741"/>
  <pageSetup paperSize="9" scale="61" fitToHeight="2" orientation="portrait" r:id="rId1"/>
  <headerFooter alignWithMargins="0"/>
  <rowBreaks count="1" manualBreakCount="1">
    <brk id="78" max="6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66"/>
  </sheetPr>
  <dimension ref="A1:T96"/>
  <sheetViews>
    <sheetView zoomScaleNormal="100" workbookViewId="0">
      <pane ySplit="3" topLeftCell="A4" activePane="bottomLeft" state="frozenSplit"/>
      <selection activeCell="K8" sqref="K8"/>
      <selection pane="bottomLeft" activeCell="K8" sqref="K8"/>
    </sheetView>
  </sheetViews>
  <sheetFormatPr defaultColWidth="9.109375" defaultRowHeight="15.6"/>
  <cols>
    <col min="1" max="1" width="3.33203125" style="13" customWidth="1"/>
    <col min="2" max="2" width="23.88671875" style="13" customWidth="1"/>
    <col min="3" max="3" width="8.88671875" style="13" customWidth="1"/>
    <col min="4" max="4" width="16.5546875" style="13" customWidth="1"/>
    <col min="5" max="5" width="14" style="13" customWidth="1"/>
    <col min="6" max="6" width="9.6640625" style="13" customWidth="1"/>
    <col min="7" max="7" width="16.88671875" style="13" customWidth="1"/>
    <col min="8" max="8" width="16" style="13" customWidth="1"/>
    <col min="9" max="9" width="19.109375" style="101" customWidth="1"/>
    <col min="10" max="10" width="15.44140625" style="13" customWidth="1"/>
    <col min="11" max="11" width="11.33203125" style="13" bestFit="1" customWidth="1"/>
    <col min="12" max="16384" width="9.109375" style="13"/>
  </cols>
  <sheetData>
    <row r="1" spans="1:10" ht="47.4">
      <c r="A1" s="465" t="s">
        <v>798</v>
      </c>
      <c r="B1" s="42"/>
      <c r="C1" s="42"/>
      <c r="D1" s="42"/>
      <c r="E1" s="42"/>
      <c r="F1" s="42"/>
      <c r="G1" s="42"/>
      <c r="H1" s="42"/>
      <c r="I1" s="466"/>
      <c r="J1" s="31"/>
    </row>
    <row r="2" spans="1:10" ht="18">
      <c r="A2" s="37"/>
      <c r="B2" s="37"/>
      <c r="C2" s="37"/>
      <c r="D2" s="37"/>
      <c r="E2" s="467"/>
      <c r="F2" s="37"/>
      <c r="G2" s="705" t="s">
        <v>746</v>
      </c>
      <c r="H2" s="467"/>
      <c r="I2" s="468"/>
      <c r="J2" s="31"/>
    </row>
    <row r="3" spans="1:10" ht="44.4">
      <c r="A3" s="36" t="s">
        <v>171</v>
      </c>
      <c r="B3" s="469" t="s">
        <v>534</v>
      </c>
      <c r="C3" s="469" t="s">
        <v>535</v>
      </c>
      <c r="D3" s="469" t="s">
        <v>536</v>
      </c>
      <c r="E3" s="470" t="s">
        <v>537</v>
      </c>
      <c r="F3" s="469" t="s">
        <v>535</v>
      </c>
      <c r="G3" s="469" t="s">
        <v>184</v>
      </c>
      <c r="H3" s="470" t="s">
        <v>538</v>
      </c>
      <c r="I3" s="471"/>
      <c r="J3" s="39"/>
    </row>
    <row r="4" spans="1:10">
      <c r="A4" s="1027" t="s">
        <v>866</v>
      </c>
      <c r="B4" s="1028"/>
      <c r="C4" s="1028"/>
      <c r="D4" s="1028"/>
      <c r="E4" s="1028"/>
      <c r="F4" s="1028"/>
      <c r="G4" s="1028"/>
      <c r="H4" s="1029"/>
      <c r="I4" s="471"/>
      <c r="J4" s="39"/>
    </row>
    <row r="5" spans="1:10">
      <c r="A5" s="1024" t="s">
        <v>747</v>
      </c>
      <c r="B5" s="1025"/>
      <c r="C5" s="1025"/>
      <c r="D5" s="1025"/>
      <c r="E5" s="1025"/>
      <c r="F5" s="1025"/>
      <c r="G5" s="1025"/>
      <c r="H5" s="1026"/>
      <c r="I5" s="471"/>
      <c r="J5" s="39"/>
    </row>
    <row r="6" spans="1:10" s="477" customFormat="1" ht="20.25" customHeight="1">
      <c r="A6" s="472" t="s">
        <v>21</v>
      </c>
      <c r="B6" s="1964" t="s">
        <v>760</v>
      </c>
      <c r="C6" s="1955" t="s">
        <v>763</v>
      </c>
      <c r="D6" s="474" t="s">
        <v>761</v>
      </c>
      <c r="E6" s="482">
        <v>15336.65</v>
      </c>
      <c r="F6" s="797" t="s">
        <v>764</v>
      </c>
      <c r="G6" s="474" t="s">
        <v>762</v>
      </c>
      <c r="H6" s="482">
        <v>15336.65</v>
      </c>
      <c r="I6" s="485"/>
      <c r="J6" s="476"/>
    </row>
    <row r="7" spans="1:10" s="477" customFormat="1" ht="20.25" customHeight="1">
      <c r="A7" s="472" t="s">
        <v>22</v>
      </c>
      <c r="B7" s="1965"/>
      <c r="C7" s="1950"/>
      <c r="D7" s="474" t="s">
        <v>765</v>
      </c>
      <c r="E7" s="482">
        <v>6420.78</v>
      </c>
      <c r="F7" s="797"/>
      <c r="G7" s="474"/>
      <c r="H7" s="797"/>
      <c r="I7" s="475"/>
      <c r="J7" s="476"/>
    </row>
    <row r="8" spans="1:10" s="477" customFormat="1" ht="20.25" customHeight="1">
      <c r="A8" s="480" t="s">
        <v>23</v>
      </c>
      <c r="B8" s="1965"/>
      <c r="C8" s="1956"/>
      <c r="D8" s="474" t="s">
        <v>766</v>
      </c>
      <c r="E8" s="482">
        <v>2923.33</v>
      </c>
      <c r="F8" s="797" t="s">
        <v>764</v>
      </c>
      <c r="G8" s="474" t="s">
        <v>786</v>
      </c>
      <c r="H8" s="482">
        <v>2923.33</v>
      </c>
      <c r="I8" s="485">
        <f>SUM(E7:E8)</f>
        <v>9344.11</v>
      </c>
      <c r="J8" s="476"/>
    </row>
    <row r="9" spans="1:10" s="477" customFormat="1" ht="20.25" customHeight="1">
      <c r="A9" s="472" t="s">
        <v>24</v>
      </c>
      <c r="B9" s="1965"/>
      <c r="C9" s="1955" t="s">
        <v>767</v>
      </c>
      <c r="D9" s="474" t="s">
        <v>768</v>
      </c>
      <c r="E9" s="482">
        <v>15402.52</v>
      </c>
      <c r="F9" s="797" t="s">
        <v>787</v>
      </c>
      <c r="G9" s="474" t="s">
        <v>789</v>
      </c>
      <c r="H9" s="482">
        <v>104720.99</v>
      </c>
      <c r="I9" s="475"/>
      <c r="J9" s="476"/>
    </row>
    <row r="10" spans="1:10" s="477" customFormat="1" ht="20.25" customHeight="1">
      <c r="A10" s="480" t="s">
        <v>25</v>
      </c>
      <c r="B10" s="1965"/>
      <c r="C10" s="1950"/>
      <c r="D10" s="474" t="s">
        <v>769</v>
      </c>
      <c r="E10" s="482">
        <v>2552.58</v>
      </c>
      <c r="F10" s="797" t="s">
        <v>787</v>
      </c>
      <c r="G10" s="474" t="s">
        <v>788</v>
      </c>
      <c r="H10" s="482">
        <v>2552.58</v>
      </c>
      <c r="I10" s="485">
        <f>SUM(E9:E10)</f>
        <v>17955.099999999999</v>
      </c>
      <c r="J10" s="476"/>
    </row>
    <row r="11" spans="1:10" s="477" customFormat="1" ht="20.25" customHeight="1">
      <c r="A11" s="480" t="s">
        <v>26</v>
      </c>
      <c r="B11" s="1965"/>
      <c r="C11" s="1950"/>
      <c r="D11" s="474" t="s">
        <v>770</v>
      </c>
      <c r="E11" s="482">
        <v>126885.02</v>
      </c>
      <c r="F11" s="797"/>
      <c r="G11" s="474"/>
      <c r="H11" s="482"/>
      <c r="J11" s="476"/>
    </row>
    <row r="12" spans="1:10" s="477" customFormat="1" ht="20.25" customHeight="1">
      <c r="A12" s="480" t="s">
        <v>27</v>
      </c>
      <c r="B12" s="1965"/>
      <c r="C12" s="1950"/>
      <c r="D12" s="474" t="s">
        <v>771</v>
      </c>
      <c r="E12" s="483">
        <v>23553.91</v>
      </c>
      <c r="F12" s="797"/>
      <c r="G12" s="474"/>
      <c r="H12" s="482"/>
      <c r="I12" s="485">
        <f>SUM(E11:E12)</f>
        <v>150438.93</v>
      </c>
      <c r="J12" s="475"/>
    </row>
    <row r="13" spans="1:10" s="477" customFormat="1" ht="20.25" customHeight="1">
      <c r="A13" s="480" t="s">
        <v>28</v>
      </c>
      <c r="B13" s="1965"/>
      <c r="C13" s="1950"/>
      <c r="D13" s="474" t="s">
        <v>772</v>
      </c>
      <c r="E13" s="482">
        <v>82142.09</v>
      </c>
      <c r="F13" s="797" t="s">
        <v>787</v>
      </c>
      <c r="G13" s="474" t="s">
        <v>790</v>
      </c>
      <c r="H13" s="482">
        <v>150438.93</v>
      </c>
      <c r="I13" s="485"/>
      <c r="J13" s="476"/>
    </row>
    <row r="14" spans="1:10" s="477" customFormat="1" ht="20.25" customHeight="1">
      <c r="A14" s="480" t="s">
        <v>162</v>
      </c>
      <c r="B14" s="1965"/>
      <c r="C14" s="1956"/>
      <c r="D14" s="474" t="s">
        <v>773</v>
      </c>
      <c r="E14" s="482">
        <v>3736.47</v>
      </c>
      <c r="F14" s="797"/>
      <c r="G14" s="474"/>
      <c r="H14" s="482"/>
      <c r="I14" s="485"/>
      <c r="J14" s="476"/>
    </row>
    <row r="15" spans="1:10" s="477" customFormat="1" ht="20.25" customHeight="1">
      <c r="A15" s="480" t="s">
        <v>163</v>
      </c>
      <c r="B15" s="1965"/>
      <c r="C15" s="1955" t="s">
        <v>775</v>
      </c>
      <c r="D15" s="474" t="s">
        <v>774</v>
      </c>
      <c r="E15" s="483">
        <v>2541.7199999999998</v>
      </c>
      <c r="F15" s="797"/>
      <c r="G15" s="474"/>
      <c r="H15" s="482"/>
      <c r="I15" s="485">
        <f>SUM(E13:E15)</f>
        <v>88420.28</v>
      </c>
      <c r="J15" s="485">
        <f>H13-I15</f>
        <v>62018.649999999994</v>
      </c>
    </row>
    <row r="16" spans="1:10" s="477" customFormat="1" ht="20.25" customHeight="1">
      <c r="A16" s="472" t="s">
        <v>161</v>
      </c>
      <c r="B16" s="1965"/>
      <c r="C16" s="1950"/>
      <c r="D16" s="474" t="s">
        <v>776</v>
      </c>
      <c r="E16" s="483">
        <v>3818.13</v>
      </c>
      <c r="F16" s="797" t="s">
        <v>791</v>
      </c>
      <c r="G16" s="474" t="s">
        <v>792</v>
      </c>
      <c r="H16" s="483">
        <v>106235.18</v>
      </c>
      <c r="I16" s="485"/>
      <c r="J16" s="476"/>
    </row>
    <row r="17" spans="1:10" s="477" customFormat="1" ht="19.5" customHeight="1">
      <c r="A17" s="472" t="s">
        <v>164</v>
      </c>
      <c r="B17" s="1965"/>
      <c r="C17" s="1956"/>
      <c r="D17" s="474" t="s">
        <v>777</v>
      </c>
      <c r="E17" s="482">
        <v>18842.43</v>
      </c>
      <c r="F17" s="797" t="s">
        <v>791</v>
      </c>
      <c r="G17" s="474" t="s">
        <v>793</v>
      </c>
      <c r="H17" s="482">
        <v>78349.75</v>
      </c>
      <c r="I17" s="485"/>
      <c r="J17" s="476"/>
    </row>
    <row r="18" spans="1:10" s="477" customFormat="1" ht="19.5" customHeight="1">
      <c r="A18" s="472" t="s">
        <v>238</v>
      </c>
      <c r="B18" s="1965"/>
      <c r="C18" s="1955" t="s">
        <v>779</v>
      </c>
      <c r="D18" s="474" t="s">
        <v>778</v>
      </c>
      <c r="E18" s="482">
        <v>106235.18</v>
      </c>
      <c r="F18" s="797" t="s">
        <v>791</v>
      </c>
      <c r="G18" s="474" t="s">
        <v>794</v>
      </c>
      <c r="H18" s="482">
        <v>201596.97</v>
      </c>
      <c r="I18" s="485"/>
      <c r="J18" s="476"/>
    </row>
    <row r="19" spans="1:10" s="477" customFormat="1" ht="19.5" customHeight="1">
      <c r="A19" s="472" t="s">
        <v>102</v>
      </c>
      <c r="B19" s="1965"/>
      <c r="C19" s="1950"/>
      <c r="D19" s="474" t="s">
        <v>781</v>
      </c>
      <c r="E19" s="482">
        <v>5437.44</v>
      </c>
      <c r="F19" s="797"/>
      <c r="G19" s="474"/>
      <c r="H19" s="482"/>
      <c r="I19" s="485">
        <f>SUM(E18:E19)</f>
        <v>111672.62</v>
      </c>
      <c r="J19" s="476"/>
    </row>
    <row r="20" spans="1:10" s="477" customFormat="1" ht="19.5" customHeight="1">
      <c r="A20" s="472" t="s">
        <v>164</v>
      </c>
      <c r="B20" s="1965"/>
      <c r="C20" s="1956"/>
      <c r="D20" s="474" t="s">
        <v>780</v>
      </c>
      <c r="E20" s="482">
        <v>78349.75</v>
      </c>
      <c r="F20" s="797"/>
      <c r="G20" s="474"/>
      <c r="H20" s="482"/>
      <c r="I20" s="485"/>
      <c r="J20" s="476"/>
    </row>
    <row r="21" spans="1:10" s="477" customFormat="1" ht="19.5" customHeight="1">
      <c r="A21" s="472" t="s">
        <v>238</v>
      </c>
      <c r="B21" s="1965"/>
      <c r="C21" s="797" t="s">
        <v>782</v>
      </c>
      <c r="D21" s="474" t="s">
        <v>783</v>
      </c>
      <c r="E21" s="482">
        <v>17121.509999999998</v>
      </c>
      <c r="F21" s="797" t="s">
        <v>795</v>
      </c>
      <c r="G21" s="474" t="s">
        <v>796</v>
      </c>
      <c r="H21" s="482">
        <v>17121.509999999998</v>
      </c>
      <c r="I21" s="485"/>
      <c r="J21" s="476"/>
    </row>
    <row r="22" spans="1:10" s="477" customFormat="1" ht="19.5" customHeight="1">
      <c r="A22" s="472" t="s">
        <v>102</v>
      </c>
      <c r="B22" s="798" t="s">
        <v>784</v>
      </c>
      <c r="C22" s="797" t="s">
        <v>870</v>
      </c>
      <c r="D22" s="474" t="s">
        <v>785</v>
      </c>
      <c r="E22" s="482">
        <v>201596.97</v>
      </c>
      <c r="F22" s="797"/>
      <c r="G22" s="474"/>
      <c r="H22" s="482"/>
      <c r="I22" s="485">
        <f>SUM(E18:E22)</f>
        <v>408740.85</v>
      </c>
      <c r="J22" s="476"/>
    </row>
    <row r="23" spans="1:10" s="477" customFormat="1" ht="19.5" hidden="1" customHeight="1">
      <c r="A23" s="472"/>
      <c r="B23" s="462"/>
      <c r="C23" s="797"/>
      <c r="D23" s="474"/>
      <c r="E23" s="482"/>
      <c r="F23" s="797"/>
      <c r="G23" s="474"/>
      <c r="H23" s="482"/>
      <c r="I23" s="485">
        <f>SUM(E19:E23)</f>
        <v>302505.67</v>
      </c>
      <c r="J23" s="476"/>
    </row>
    <row r="24" spans="1:10" s="477" customFormat="1" ht="19.5" hidden="1" customHeight="1">
      <c r="A24" s="472"/>
      <c r="B24" s="462"/>
      <c r="C24" s="797"/>
      <c r="D24" s="474"/>
      <c r="E24" s="482"/>
      <c r="F24" s="797"/>
      <c r="G24" s="474"/>
      <c r="H24" s="482"/>
      <c r="I24" s="485">
        <f>SUM(E20:E24)</f>
        <v>297068.23</v>
      </c>
      <c r="J24" s="476"/>
    </row>
    <row r="25" spans="1:10" s="477" customFormat="1" ht="19.5" hidden="1" customHeight="1">
      <c r="A25" s="472"/>
      <c r="B25" s="462"/>
      <c r="C25" s="797"/>
      <c r="D25" s="474"/>
      <c r="E25" s="482"/>
      <c r="F25" s="797"/>
      <c r="G25" s="474"/>
      <c r="H25" s="482"/>
      <c r="I25" s="485">
        <f>SUM(E21:E25)</f>
        <v>218718.48</v>
      </c>
      <c r="J25" s="476"/>
    </row>
    <row r="26" spans="1:10">
      <c r="A26" s="479" t="s">
        <v>103</v>
      </c>
      <c r="B26" s="481"/>
      <c r="C26" s="473"/>
      <c r="D26" s="478"/>
      <c r="E26" s="484">
        <f>SUM(E6:E25)</f>
        <v>712896.48</v>
      </c>
      <c r="F26" s="486"/>
      <c r="G26" s="486"/>
      <c r="H26" s="484">
        <f>SUM(H6:H25)</f>
        <v>679275.89</v>
      </c>
      <c r="I26" s="471"/>
      <c r="J26" s="39">
        <v>679275.89</v>
      </c>
    </row>
    <row r="27" spans="1:10" ht="36" customHeight="1">
      <c r="A27" s="1045" t="s">
        <v>927</v>
      </c>
      <c r="B27" s="487"/>
      <c r="C27" s="488"/>
      <c r="D27" s="489"/>
      <c r="E27" s="490"/>
      <c r="F27" s="34"/>
      <c r="G27" s="34"/>
      <c r="H27" s="490"/>
      <c r="I27" s="471"/>
      <c r="J27" s="39"/>
    </row>
    <row r="28" spans="1:10" s="78" customFormat="1" ht="18">
      <c r="A28" s="409" t="s">
        <v>1000</v>
      </c>
      <c r="J28" s="800" t="e">
        <f>#REF!/1.18/9*12/1000</f>
        <v>#REF!</v>
      </c>
    </row>
    <row r="29" spans="1:10" s="78" customFormat="1">
      <c r="C29" s="799" t="s">
        <v>997</v>
      </c>
      <c r="D29" s="703">
        <f>$H$26/1000/1.18*1.079</f>
        <v>621.13447907627119</v>
      </c>
      <c r="E29" s="91" t="s">
        <v>756</v>
      </c>
      <c r="J29" s="800"/>
    </row>
    <row r="30" spans="1:10" s="78" customFormat="1" ht="18">
      <c r="A30" s="78" t="s">
        <v>797</v>
      </c>
      <c r="I30" s="144"/>
    </row>
    <row r="31" spans="1:10" s="78" customFormat="1">
      <c r="B31" s="799" t="s">
        <v>757</v>
      </c>
      <c r="C31" s="703">
        <f>D29*1.079</f>
        <v>670.20410292329655</v>
      </c>
      <c r="D31" s="91" t="s">
        <v>29</v>
      </c>
      <c r="I31" s="144"/>
    </row>
    <row r="32" spans="1:10" s="78" customFormat="1">
      <c r="B32" s="799"/>
      <c r="C32" s="1033"/>
      <c r="D32" s="91"/>
      <c r="I32" s="144"/>
    </row>
    <row r="33" spans="1:11" ht="44.4">
      <c r="A33" s="36" t="s">
        <v>171</v>
      </c>
      <c r="B33" s="469" t="s">
        <v>534</v>
      </c>
      <c r="C33" s="469" t="s">
        <v>535</v>
      </c>
      <c r="D33" s="469" t="s">
        <v>536</v>
      </c>
      <c r="E33" s="470" t="s">
        <v>537</v>
      </c>
      <c r="F33" s="469" t="s">
        <v>535</v>
      </c>
      <c r="G33" s="469" t="s">
        <v>184</v>
      </c>
      <c r="H33" s="470" t="s">
        <v>538</v>
      </c>
      <c r="I33" s="471"/>
      <c r="J33" s="39"/>
    </row>
    <row r="34" spans="1:11">
      <c r="A34" s="1027" t="s">
        <v>867</v>
      </c>
      <c r="B34" s="1028"/>
      <c r="C34" s="1028"/>
      <c r="D34" s="1028"/>
      <c r="E34" s="1028"/>
      <c r="F34" s="1028"/>
      <c r="G34" s="1028"/>
      <c r="H34" s="1029"/>
      <c r="I34" s="471"/>
      <c r="J34" s="39"/>
    </row>
    <row r="35" spans="1:11">
      <c r="A35" s="1024" t="s">
        <v>747</v>
      </c>
      <c r="B35" s="1025"/>
      <c r="C35" s="1025"/>
      <c r="D35" s="1025"/>
      <c r="E35" s="1025"/>
      <c r="F35" s="1025"/>
      <c r="G35" s="1025"/>
      <c r="H35" s="1026"/>
      <c r="I35" s="471"/>
      <c r="J35" s="39"/>
    </row>
    <row r="36" spans="1:11" s="477" customFormat="1" ht="19.5" customHeight="1">
      <c r="A36" s="472" t="s">
        <v>21</v>
      </c>
      <c r="B36" s="1966" t="s">
        <v>868</v>
      </c>
      <c r="C36" s="797" t="s">
        <v>869</v>
      </c>
      <c r="D36" s="474" t="s">
        <v>924</v>
      </c>
      <c r="E36" s="482">
        <v>15642.8</v>
      </c>
      <c r="F36" s="797" t="s">
        <v>945</v>
      </c>
      <c r="G36" s="474">
        <v>68</v>
      </c>
      <c r="H36" s="482">
        <v>37678.5</v>
      </c>
      <c r="I36" s="485"/>
      <c r="J36" s="476"/>
    </row>
    <row r="37" spans="1:11" s="477" customFormat="1" ht="19.5" customHeight="1">
      <c r="A37" s="472" t="s">
        <v>22</v>
      </c>
      <c r="B37" s="1967"/>
      <c r="C37" s="797" t="s">
        <v>871</v>
      </c>
      <c r="D37" s="474" t="s">
        <v>872</v>
      </c>
      <c r="E37" s="482">
        <v>20392.5</v>
      </c>
      <c r="F37" s="797" t="s">
        <v>946</v>
      </c>
      <c r="G37" s="474">
        <v>98</v>
      </c>
      <c r="H37" s="482">
        <v>3180</v>
      </c>
      <c r="I37" s="485"/>
      <c r="J37" s="485">
        <f>SUM(E36:E37)</f>
        <v>36035.300000000003</v>
      </c>
      <c r="K37" s="485">
        <f>SUM(H36:H37)</f>
        <v>40858.5</v>
      </c>
    </row>
    <row r="38" spans="1:11" s="477" customFormat="1" ht="20.25" customHeight="1">
      <c r="A38" s="480" t="s">
        <v>23</v>
      </c>
      <c r="B38" s="1965"/>
      <c r="C38" s="797" t="s">
        <v>873</v>
      </c>
      <c r="D38" s="474" t="s">
        <v>874</v>
      </c>
      <c r="E38" s="482">
        <v>24197</v>
      </c>
      <c r="F38" s="797" t="s">
        <v>948</v>
      </c>
      <c r="G38" s="474">
        <v>119</v>
      </c>
      <c r="H38" s="482">
        <v>24197</v>
      </c>
      <c r="I38" s="475"/>
      <c r="J38" s="476"/>
    </row>
    <row r="39" spans="1:11" s="477" customFormat="1" ht="20.25" customHeight="1">
      <c r="A39" s="472" t="s">
        <v>24</v>
      </c>
      <c r="B39" s="1965"/>
      <c r="C39" s="797" t="s">
        <v>875</v>
      </c>
      <c r="D39" s="474" t="s">
        <v>876</v>
      </c>
      <c r="E39" s="482">
        <v>6850</v>
      </c>
      <c r="F39" s="797" t="s">
        <v>950</v>
      </c>
      <c r="G39" s="474">
        <v>231</v>
      </c>
      <c r="H39" s="482">
        <v>6850</v>
      </c>
      <c r="I39" s="485"/>
      <c r="J39" s="476"/>
    </row>
    <row r="40" spans="1:11" s="477" customFormat="1" ht="20.25" customHeight="1">
      <c r="A40" s="480" t="s">
        <v>25</v>
      </c>
      <c r="B40" s="1965"/>
      <c r="C40" s="797" t="s">
        <v>877</v>
      </c>
      <c r="D40" s="474" t="s">
        <v>878</v>
      </c>
      <c r="E40" s="482">
        <v>78415.88</v>
      </c>
      <c r="F40" s="1955" t="s">
        <v>947</v>
      </c>
      <c r="G40" s="1957">
        <v>196</v>
      </c>
      <c r="H40" s="1959">
        <v>86085.88</v>
      </c>
      <c r="I40" s="475"/>
      <c r="J40" s="476"/>
    </row>
    <row r="41" spans="1:11" s="477" customFormat="1" ht="20.25" customHeight="1">
      <c r="A41" s="480" t="s">
        <v>26</v>
      </c>
      <c r="B41" s="1965"/>
      <c r="C41" s="797" t="s">
        <v>877</v>
      </c>
      <c r="D41" s="474" t="s">
        <v>879</v>
      </c>
      <c r="E41" s="482">
        <v>7670</v>
      </c>
      <c r="F41" s="1956"/>
      <c r="G41" s="1958"/>
      <c r="H41" s="1960"/>
      <c r="I41" s="485"/>
      <c r="J41" s="485">
        <f>SUM(E40:E41)</f>
        <v>86085.88</v>
      </c>
      <c r="K41" s="485">
        <f>SUM(H40)</f>
        <v>86085.88</v>
      </c>
    </row>
    <row r="42" spans="1:11" s="477" customFormat="1" ht="20.25" customHeight="1">
      <c r="A42" s="480" t="s">
        <v>27</v>
      </c>
      <c r="B42" s="1965"/>
      <c r="C42" s="1030" t="s">
        <v>880</v>
      </c>
      <c r="D42" s="1031" t="s">
        <v>881</v>
      </c>
      <c r="E42" s="1032">
        <v>1195</v>
      </c>
      <c r="F42" s="797"/>
      <c r="G42" s="474"/>
      <c r="H42" s="482"/>
      <c r="J42" s="485">
        <f>SUM(E36:E41)</f>
        <v>153168.18</v>
      </c>
      <c r="K42" s="485">
        <f>SUM(H36:H42)</f>
        <v>157991.38</v>
      </c>
    </row>
    <row r="43" spans="1:11" s="477" customFormat="1" ht="20.25" customHeight="1">
      <c r="A43" s="480" t="s">
        <v>28</v>
      </c>
      <c r="B43" s="1965"/>
      <c r="C43" s="797" t="s">
        <v>882</v>
      </c>
      <c r="D43" s="474" t="s">
        <v>883</v>
      </c>
      <c r="E43" s="482">
        <v>20725</v>
      </c>
      <c r="F43" s="797" t="s">
        <v>949</v>
      </c>
      <c r="G43" s="474">
        <v>242</v>
      </c>
      <c r="H43" s="482">
        <v>20725</v>
      </c>
      <c r="I43" s="485"/>
      <c r="J43" s="475"/>
    </row>
    <row r="44" spans="1:11" s="477" customFormat="1" ht="20.25" customHeight="1">
      <c r="A44" s="480" t="s">
        <v>162</v>
      </c>
      <c r="B44" s="1965"/>
      <c r="C44" s="797" t="s">
        <v>884</v>
      </c>
      <c r="D44" s="474" t="s">
        <v>885</v>
      </c>
      <c r="E44" s="482">
        <v>12840</v>
      </c>
      <c r="F44" s="797" t="s">
        <v>952</v>
      </c>
      <c r="G44" s="474">
        <v>276</v>
      </c>
      <c r="H44" s="482">
        <v>3005</v>
      </c>
      <c r="I44" s="485"/>
      <c r="J44" s="485">
        <f>E42+E44</f>
        <v>14035</v>
      </c>
      <c r="K44" s="485"/>
    </row>
    <row r="45" spans="1:11" s="477" customFormat="1" ht="20.25" customHeight="1">
      <c r="A45" s="480" t="s">
        <v>163</v>
      </c>
      <c r="B45" s="1965"/>
      <c r="C45" s="797" t="s">
        <v>886</v>
      </c>
      <c r="D45" s="474" t="s">
        <v>887</v>
      </c>
      <c r="E45" s="482">
        <v>4350</v>
      </c>
      <c r="F45" s="797" t="s">
        <v>951</v>
      </c>
      <c r="G45" s="474">
        <v>336</v>
      </c>
      <c r="H45" s="482">
        <v>13045</v>
      </c>
      <c r="I45" s="485"/>
      <c r="J45" s="485">
        <f>E44+E45</f>
        <v>17190</v>
      </c>
      <c r="K45" s="485">
        <f>H44+H45</f>
        <v>16050</v>
      </c>
    </row>
    <row r="46" spans="1:11" s="477" customFormat="1" ht="20.25" customHeight="1">
      <c r="A46" s="472" t="s">
        <v>161</v>
      </c>
      <c r="B46" s="1965"/>
      <c r="C46" s="797" t="s">
        <v>767</v>
      </c>
      <c r="D46" s="474" t="s">
        <v>888</v>
      </c>
      <c r="E46" s="482">
        <v>37232</v>
      </c>
      <c r="F46" s="797" t="s">
        <v>954</v>
      </c>
      <c r="G46" s="474">
        <v>345</v>
      </c>
      <c r="H46" s="482">
        <v>990</v>
      </c>
      <c r="I46" s="485"/>
      <c r="J46" s="485"/>
    </row>
    <row r="47" spans="1:11" s="477" customFormat="1" ht="20.25" customHeight="1">
      <c r="A47" s="472" t="s">
        <v>164</v>
      </c>
      <c r="B47" s="1965"/>
      <c r="C47" s="797" t="s">
        <v>767</v>
      </c>
      <c r="D47" s="474" t="s">
        <v>889</v>
      </c>
      <c r="E47" s="482">
        <v>7716</v>
      </c>
      <c r="F47" s="797" t="s">
        <v>953</v>
      </c>
      <c r="G47" s="474">
        <v>394</v>
      </c>
      <c r="H47" s="482">
        <v>42545</v>
      </c>
      <c r="I47" s="485"/>
      <c r="J47" s="485">
        <f>E46+E47</f>
        <v>44948</v>
      </c>
      <c r="K47" s="485">
        <f>H47</f>
        <v>42545</v>
      </c>
    </row>
    <row r="48" spans="1:11" s="477" customFormat="1" ht="19.5" customHeight="1">
      <c r="A48" s="472" t="s">
        <v>238</v>
      </c>
      <c r="B48" s="1968"/>
      <c r="C48" s="797" t="s">
        <v>890</v>
      </c>
      <c r="D48" s="474" t="s">
        <v>891</v>
      </c>
      <c r="E48" s="482">
        <v>16914</v>
      </c>
      <c r="F48" s="797" t="s">
        <v>955</v>
      </c>
      <c r="G48" s="474">
        <v>496</v>
      </c>
      <c r="H48" s="482">
        <v>41582</v>
      </c>
      <c r="I48" s="485"/>
      <c r="J48" s="476"/>
    </row>
    <row r="49" spans="1:11" s="477" customFormat="1" ht="19.5" customHeight="1">
      <c r="A49" s="472" t="s">
        <v>102</v>
      </c>
      <c r="B49" s="1961" t="s">
        <v>892</v>
      </c>
      <c r="C49" s="797" t="s">
        <v>890</v>
      </c>
      <c r="D49" s="474" t="s">
        <v>893</v>
      </c>
      <c r="E49" s="482">
        <v>1213.49</v>
      </c>
      <c r="F49" s="1955" t="s">
        <v>957</v>
      </c>
      <c r="G49" s="1957">
        <v>520</v>
      </c>
      <c r="H49" s="1959">
        <v>2815</v>
      </c>
      <c r="I49" s="485"/>
      <c r="J49" s="485">
        <f>E49+E50</f>
        <v>2333.0500000000002</v>
      </c>
      <c r="K49" s="485">
        <f>H49</f>
        <v>2815</v>
      </c>
    </row>
    <row r="50" spans="1:11" s="477" customFormat="1" ht="19.5" customHeight="1">
      <c r="A50" s="472" t="s">
        <v>166</v>
      </c>
      <c r="B50" s="1962"/>
      <c r="C50" s="797" t="s">
        <v>890</v>
      </c>
      <c r="D50" s="474" t="s">
        <v>893</v>
      </c>
      <c r="E50" s="482">
        <v>1119.56</v>
      </c>
      <c r="F50" s="1956"/>
      <c r="G50" s="1958"/>
      <c r="H50" s="1960"/>
      <c r="I50" s="485"/>
      <c r="J50" s="476"/>
    </row>
    <row r="51" spans="1:11" s="477" customFormat="1" ht="19.5" customHeight="1">
      <c r="A51" s="472" t="s">
        <v>899</v>
      </c>
      <c r="B51" s="1961" t="s">
        <v>868</v>
      </c>
      <c r="C51" s="797" t="s">
        <v>775</v>
      </c>
      <c r="D51" s="474" t="s">
        <v>894</v>
      </c>
      <c r="E51" s="482">
        <v>9400</v>
      </c>
      <c r="F51" s="797" t="s">
        <v>956</v>
      </c>
      <c r="G51" s="474">
        <v>534</v>
      </c>
      <c r="H51" s="482">
        <v>15924</v>
      </c>
      <c r="I51" s="485"/>
      <c r="J51" s="476"/>
    </row>
    <row r="52" spans="1:11" s="477" customFormat="1" ht="19.5" customHeight="1">
      <c r="A52" s="472" t="s">
        <v>900</v>
      </c>
      <c r="B52" s="1963"/>
      <c r="C52" s="797" t="s">
        <v>895</v>
      </c>
      <c r="D52" s="474" t="s">
        <v>896</v>
      </c>
      <c r="E52" s="482">
        <v>3485</v>
      </c>
      <c r="F52" s="797" t="s">
        <v>958</v>
      </c>
      <c r="G52" s="474">
        <v>544</v>
      </c>
      <c r="H52" s="482">
        <v>990</v>
      </c>
      <c r="I52" s="485"/>
      <c r="J52" s="476"/>
    </row>
    <row r="53" spans="1:11" s="477" customFormat="1" ht="19.5" customHeight="1">
      <c r="A53" s="472" t="s">
        <v>901</v>
      </c>
      <c r="B53" s="1963"/>
      <c r="C53" s="797" t="s">
        <v>895</v>
      </c>
      <c r="D53" s="474" t="s">
        <v>896</v>
      </c>
      <c r="E53" s="482">
        <v>4550</v>
      </c>
      <c r="F53" s="797" t="s">
        <v>959</v>
      </c>
      <c r="G53" s="474">
        <v>722</v>
      </c>
      <c r="H53" s="482">
        <v>5626</v>
      </c>
      <c r="I53" s="485"/>
    </row>
    <row r="54" spans="1:11" s="477" customFormat="1" ht="19.5" customHeight="1">
      <c r="A54" s="472" t="s">
        <v>902</v>
      </c>
      <c r="B54" s="1962"/>
      <c r="C54" s="797" t="s">
        <v>897</v>
      </c>
      <c r="D54" s="474" t="s">
        <v>898</v>
      </c>
      <c r="E54" s="482">
        <v>7735</v>
      </c>
      <c r="F54" s="797" t="s">
        <v>795</v>
      </c>
      <c r="G54" s="474">
        <v>860</v>
      </c>
      <c r="H54" s="482">
        <v>38620</v>
      </c>
      <c r="I54" s="485"/>
      <c r="J54" s="485">
        <f>SUM(E51:E54)</f>
        <v>25170</v>
      </c>
      <c r="K54" s="485">
        <f>SUM(H51:H54)</f>
        <v>61160</v>
      </c>
    </row>
    <row r="55" spans="1:11" s="477" customFormat="1" ht="19.5" customHeight="1">
      <c r="A55" s="472" t="s">
        <v>903</v>
      </c>
      <c r="B55" s="798" t="s">
        <v>892</v>
      </c>
      <c r="C55" s="797" t="s">
        <v>910</v>
      </c>
      <c r="D55" s="474" t="s">
        <v>911</v>
      </c>
      <c r="E55" s="482">
        <v>35413.81</v>
      </c>
      <c r="F55" s="797" t="s">
        <v>960</v>
      </c>
      <c r="G55" s="474">
        <v>803</v>
      </c>
      <c r="H55" s="482">
        <v>35414</v>
      </c>
      <c r="I55" s="485"/>
      <c r="J55" s="476"/>
    </row>
    <row r="56" spans="1:11" s="477" customFormat="1" ht="19.5" customHeight="1">
      <c r="A56" s="472" t="s">
        <v>904</v>
      </c>
      <c r="B56" s="798" t="s">
        <v>868</v>
      </c>
      <c r="C56" s="1030" t="s">
        <v>912</v>
      </c>
      <c r="D56" s="1031" t="s">
        <v>913</v>
      </c>
      <c r="E56" s="1032">
        <v>24225</v>
      </c>
      <c r="F56" s="797" t="s">
        <v>961</v>
      </c>
      <c r="G56" s="474">
        <v>929</v>
      </c>
      <c r="H56" s="482">
        <v>24225</v>
      </c>
      <c r="I56" s="485"/>
      <c r="J56" s="476"/>
    </row>
    <row r="57" spans="1:11" s="477" customFormat="1" ht="19.5" customHeight="1">
      <c r="A57" s="472" t="s">
        <v>905</v>
      </c>
      <c r="B57" s="798"/>
      <c r="C57" s="797" t="s">
        <v>916</v>
      </c>
      <c r="D57" s="474" t="s">
        <v>917</v>
      </c>
      <c r="E57" s="482">
        <v>47687</v>
      </c>
      <c r="F57" s="797" t="s">
        <v>962</v>
      </c>
      <c r="G57" s="474">
        <v>947</v>
      </c>
      <c r="H57" s="482">
        <v>47687</v>
      </c>
      <c r="I57" s="485"/>
      <c r="J57" s="476"/>
    </row>
    <row r="58" spans="1:11" s="477" customFormat="1" ht="19.5" customHeight="1">
      <c r="A58" s="472" t="s">
        <v>906</v>
      </c>
      <c r="B58" s="798"/>
      <c r="C58" s="797" t="s">
        <v>914</v>
      </c>
      <c r="D58" s="474" t="s">
        <v>915</v>
      </c>
      <c r="E58" s="482">
        <v>5740</v>
      </c>
      <c r="F58" s="797" t="s">
        <v>963</v>
      </c>
      <c r="G58" s="474">
        <v>994</v>
      </c>
      <c r="H58" s="482">
        <v>13340</v>
      </c>
      <c r="I58" s="485"/>
      <c r="J58" s="476"/>
    </row>
    <row r="59" spans="1:11" s="477" customFormat="1" ht="19.5" customHeight="1">
      <c r="A59" s="472" t="s">
        <v>907</v>
      </c>
      <c r="B59" s="798"/>
      <c r="C59" s="797" t="s">
        <v>920</v>
      </c>
      <c r="D59" s="474" t="s">
        <v>918</v>
      </c>
      <c r="E59" s="482">
        <v>5500</v>
      </c>
      <c r="F59" s="797"/>
      <c r="G59" s="474"/>
      <c r="H59" s="482"/>
      <c r="I59" s="485"/>
      <c r="J59" s="485">
        <f>SUM(E58:E59)</f>
        <v>11240</v>
      </c>
    </row>
    <row r="60" spans="1:11" s="477" customFormat="1" ht="19.5" customHeight="1">
      <c r="A60" s="472" t="s">
        <v>908</v>
      </c>
      <c r="B60" s="798"/>
      <c r="C60" s="797" t="s">
        <v>919</v>
      </c>
      <c r="D60" s="474" t="s">
        <v>921</v>
      </c>
      <c r="E60" s="482">
        <v>7600</v>
      </c>
      <c r="F60" s="797"/>
      <c r="G60" s="474"/>
      <c r="H60" s="482"/>
      <c r="I60" s="485"/>
      <c r="J60" s="476"/>
    </row>
    <row r="61" spans="1:11" s="477" customFormat="1" ht="19.5" customHeight="1">
      <c r="A61" s="472" t="s">
        <v>909</v>
      </c>
      <c r="B61" s="798"/>
      <c r="C61" s="797" t="s">
        <v>919</v>
      </c>
      <c r="D61" s="474" t="s">
        <v>922</v>
      </c>
      <c r="E61" s="482">
        <v>3250</v>
      </c>
      <c r="F61" s="797" t="s">
        <v>964</v>
      </c>
      <c r="G61" s="474">
        <v>1026</v>
      </c>
      <c r="H61" s="482">
        <v>3250</v>
      </c>
      <c r="I61" s="485"/>
      <c r="J61" s="476"/>
    </row>
    <row r="62" spans="1:11" s="477" customFormat="1" ht="21" customHeight="1">
      <c r="A62" s="472" t="s">
        <v>925</v>
      </c>
      <c r="B62" s="798"/>
      <c r="C62" s="797" t="s">
        <v>923</v>
      </c>
      <c r="D62" s="474" t="s">
        <v>926</v>
      </c>
      <c r="E62" s="482">
        <v>21291</v>
      </c>
      <c r="F62" s="797"/>
      <c r="G62" s="474"/>
      <c r="H62" s="482"/>
      <c r="I62" s="485"/>
      <c r="J62" s="476"/>
    </row>
    <row r="63" spans="1:11" s="477" customFormat="1" ht="19.5" hidden="1" customHeight="1">
      <c r="A63" s="472"/>
      <c r="B63" s="462"/>
      <c r="C63" s="797"/>
      <c r="D63" s="474"/>
      <c r="E63" s="482"/>
      <c r="F63" s="797"/>
      <c r="G63" s="474"/>
      <c r="H63" s="482"/>
      <c r="I63" s="485"/>
      <c r="J63" s="476"/>
    </row>
    <row r="64" spans="1:11" s="477" customFormat="1" ht="19.5" hidden="1" customHeight="1">
      <c r="A64" s="472"/>
      <c r="B64" s="462"/>
      <c r="C64" s="797"/>
      <c r="D64" s="474"/>
      <c r="E64" s="482"/>
      <c r="F64" s="797"/>
      <c r="G64" s="474"/>
      <c r="H64" s="482"/>
      <c r="I64" s="485"/>
      <c r="J64" s="476"/>
    </row>
    <row r="65" spans="1:20" s="477" customFormat="1" ht="19.5" hidden="1" customHeight="1">
      <c r="A65" s="472"/>
      <c r="B65" s="462"/>
      <c r="C65" s="797"/>
      <c r="D65" s="474"/>
      <c r="E65" s="482"/>
      <c r="F65" s="797"/>
      <c r="G65" s="474"/>
      <c r="H65" s="482"/>
      <c r="I65" s="485"/>
      <c r="J65" s="476"/>
    </row>
    <row r="66" spans="1:20" s="477" customFormat="1" ht="19.5" hidden="1" customHeight="1">
      <c r="A66" s="472"/>
      <c r="B66" s="462"/>
      <c r="C66" s="797"/>
      <c r="D66" s="474"/>
      <c r="E66" s="482"/>
      <c r="F66" s="797"/>
      <c r="G66" s="474"/>
      <c r="H66" s="482"/>
      <c r="I66" s="485"/>
      <c r="J66" s="476"/>
    </row>
    <row r="67" spans="1:20" s="477" customFormat="1" ht="19.5" hidden="1" customHeight="1">
      <c r="A67" s="472"/>
      <c r="B67" s="462"/>
      <c r="C67" s="797"/>
      <c r="D67" s="474"/>
      <c r="E67" s="482"/>
      <c r="F67" s="797"/>
      <c r="G67" s="474"/>
      <c r="H67" s="482"/>
      <c r="I67" s="485"/>
      <c r="J67" s="476"/>
    </row>
    <row r="68" spans="1:20" s="477" customFormat="1" ht="19.5" hidden="1" customHeight="1">
      <c r="A68" s="472"/>
      <c r="B68" s="462"/>
      <c r="C68" s="797"/>
      <c r="D68" s="474"/>
      <c r="E68" s="482"/>
      <c r="F68" s="797"/>
      <c r="G68" s="474"/>
      <c r="H68" s="482"/>
      <c r="I68" s="485"/>
      <c r="J68" s="476"/>
    </row>
    <row r="69" spans="1:20" s="477" customFormat="1" ht="19.5" hidden="1" customHeight="1">
      <c r="A69" s="472"/>
      <c r="B69" s="462"/>
      <c r="C69" s="797"/>
      <c r="D69" s="474"/>
      <c r="E69" s="482"/>
      <c r="F69" s="797"/>
      <c r="G69" s="474"/>
      <c r="H69" s="482"/>
      <c r="I69" s="485"/>
      <c r="J69" s="476"/>
    </row>
    <row r="70" spans="1:20" s="477" customFormat="1" ht="19.5" hidden="1" customHeight="1">
      <c r="A70" s="472"/>
      <c r="B70" s="462"/>
      <c r="C70" s="797"/>
      <c r="D70" s="474"/>
      <c r="E70" s="482"/>
      <c r="F70" s="797"/>
      <c r="G70" s="474"/>
      <c r="H70" s="482"/>
      <c r="I70" s="485"/>
      <c r="J70" s="476"/>
    </row>
    <row r="71" spans="1:20" s="477" customFormat="1" ht="19.5" hidden="1" customHeight="1">
      <c r="A71" s="472"/>
      <c r="B71" s="462"/>
      <c r="C71" s="797"/>
      <c r="D71" s="474"/>
      <c r="E71" s="482"/>
      <c r="F71" s="797"/>
      <c r="G71" s="474"/>
      <c r="H71" s="482"/>
      <c r="I71" s="485"/>
      <c r="J71" s="476"/>
    </row>
    <row r="72" spans="1:20" s="477" customFormat="1" ht="19.5" hidden="1" customHeight="1">
      <c r="A72" s="472"/>
      <c r="B72" s="462"/>
      <c r="C72" s="797"/>
      <c r="D72" s="474"/>
      <c r="E72" s="482"/>
      <c r="F72" s="797"/>
      <c r="G72" s="474"/>
      <c r="H72" s="482"/>
      <c r="I72" s="485"/>
      <c r="J72" s="476"/>
    </row>
    <row r="73" spans="1:20" s="477" customFormat="1" ht="19.5" hidden="1" customHeight="1">
      <c r="A73" s="472"/>
      <c r="B73" s="462"/>
      <c r="C73" s="797"/>
      <c r="D73" s="474"/>
      <c r="E73" s="482"/>
      <c r="F73" s="797"/>
      <c r="G73" s="474"/>
      <c r="H73" s="482"/>
      <c r="I73" s="485"/>
      <c r="J73" s="476"/>
    </row>
    <row r="74" spans="1:20" s="477" customFormat="1" ht="19.5" hidden="1" customHeight="1">
      <c r="A74" s="472"/>
      <c r="B74" s="462"/>
      <c r="C74" s="797"/>
      <c r="D74" s="474"/>
      <c r="E74" s="482"/>
      <c r="F74" s="797"/>
      <c r="G74" s="474"/>
      <c r="H74" s="482"/>
      <c r="I74" s="485"/>
      <c r="J74" s="476"/>
    </row>
    <row r="75" spans="1:20">
      <c r="A75" s="479" t="s">
        <v>103</v>
      </c>
      <c r="B75" s="481"/>
      <c r="C75" s="473"/>
      <c r="D75" s="478"/>
      <c r="E75" s="484">
        <f>SUM(E36:E74)</f>
        <v>432350.04</v>
      </c>
      <c r="F75" s="486"/>
      <c r="G75" s="486"/>
      <c r="H75" s="484">
        <f>SUM(H36:H74)</f>
        <v>467774.38</v>
      </c>
      <c r="I75" s="471"/>
      <c r="J75" s="39"/>
    </row>
    <row r="76" spans="1:20" ht="36" customHeight="1">
      <c r="A76" s="1034" t="s">
        <v>928</v>
      </c>
      <c r="B76" s="487"/>
      <c r="C76" s="488"/>
      <c r="D76" s="489"/>
      <c r="E76" s="490"/>
      <c r="F76" s="34"/>
      <c r="G76" s="34"/>
      <c r="H76" s="490"/>
      <c r="I76" s="471"/>
      <c r="J76" s="39"/>
    </row>
    <row r="77" spans="1:20" s="78" customFormat="1">
      <c r="A77" s="409" t="s">
        <v>999</v>
      </c>
      <c r="J77" s="800">
        <f>H26/1.18/9*12/1000</f>
        <v>767.54337853107359</v>
      </c>
    </row>
    <row r="78" spans="1:20">
      <c r="A78" s="34" t="s">
        <v>936</v>
      </c>
      <c r="B78" s="34"/>
      <c r="C78" s="34"/>
      <c r="D78" s="16"/>
      <c r="E78" s="700"/>
      <c r="F78" s="700"/>
      <c r="G78" s="700"/>
      <c r="H78" s="700"/>
      <c r="I78" s="700"/>
      <c r="J78" s="701"/>
      <c r="K78" s="700"/>
      <c r="L78" s="700"/>
      <c r="M78" s="700"/>
      <c r="N78" s="700"/>
      <c r="S78" s="65"/>
      <c r="T78" s="492"/>
    </row>
    <row r="79" spans="1:20">
      <c r="A79" s="34"/>
      <c r="B79" s="1036" t="s">
        <v>929</v>
      </c>
      <c r="D79" s="204" t="s">
        <v>758</v>
      </c>
      <c r="E79" s="744" t="s">
        <v>661</v>
      </c>
      <c r="F79" s="34"/>
      <c r="G79" s="34"/>
      <c r="H79" s="16"/>
      <c r="I79" s="13"/>
      <c r="J79" s="701"/>
      <c r="K79" s="700"/>
      <c r="L79" s="16"/>
      <c r="M79" s="700"/>
      <c r="N79" s="700"/>
      <c r="P79" s="65"/>
      <c r="S79" s="66"/>
      <c r="T79" s="492"/>
    </row>
    <row r="80" spans="1:20">
      <c r="C80" s="44" t="s">
        <v>931</v>
      </c>
      <c r="D80" s="13">
        <f>SUM(D82:D83)</f>
        <v>588.05799999999999</v>
      </c>
      <c r="E80" s="802">
        <f>D80/$D$85*100</f>
        <v>22.232329120949331</v>
      </c>
      <c r="F80" s="44"/>
      <c r="I80" s="13"/>
      <c r="J80" s="170">
        <f>'П1.30 - 07.06.11г.'!C76</f>
        <v>6486.5829999999987</v>
      </c>
      <c r="K80" s="4"/>
      <c r="L80" s="4"/>
      <c r="M80" s="4"/>
      <c r="N80" s="4"/>
      <c r="S80" s="742" t="e">
        <f>D83/$D$24*100</f>
        <v>#DIV/0!</v>
      </c>
      <c r="T80" s="492"/>
    </row>
    <row r="81" spans="1:20">
      <c r="B81" s="47"/>
      <c r="C81" s="47" t="s">
        <v>932</v>
      </c>
      <c r="D81" s="47"/>
      <c r="F81" s="44"/>
      <c r="I81" s="13"/>
      <c r="J81" s="170"/>
      <c r="K81" s="4"/>
      <c r="L81" s="4"/>
      <c r="M81" s="4"/>
      <c r="N81" s="4"/>
      <c r="S81" s="742"/>
      <c r="T81" s="492"/>
    </row>
    <row r="82" spans="1:20">
      <c r="B82" s="47"/>
      <c r="C82" s="512" t="s">
        <v>930</v>
      </c>
      <c r="D82" s="47">
        <f>'П1.30 - 07.06.11г.'!$C$28</f>
        <v>531.55799999999999</v>
      </c>
      <c r="F82" s="44"/>
      <c r="I82" s="13"/>
      <c r="J82" s="170"/>
      <c r="K82" s="4"/>
      <c r="L82" s="4"/>
      <c r="M82" s="4"/>
      <c r="N82" s="4"/>
      <c r="S82" s="742"/>
      <c r="T82" s="492"/>
    </row>
    <row r="83" spans="1:20">
      <c r="B83" s="512"/>
      <c r="C83" s="512" t="s">
        <v>933</v>
      </c>
      <c r="D83" s="743">
        <f>16.5+40</f>
        <v>56.5</v>
      </c>
      <c r="F83" s="44"/>
      <c r="I83" s="13"/>
      <c r="J83" s="170"/>
      <c r="K83" s="4"/>
      <c r="L83" s="4"/>
      <c r="M83" s="4"/>
      <c r="N83" s="4"/>
      <c r="S83" s="742"/>
      <c r="T83" s="492"/>
    </row>
    <row r="84" spans="1:20">
      <c r="B84" s="44" t="s">
        <v>759</v>
      </c>
      <c r="D84" s="563">
        <f>'2012 Баланс  '!D10+'2012 Баланс  '!E10+'2012 Баланс  '!F10</f>
        <v>2057</v>
      </c>
      <c r="E84" s="802">
        <f>D84/$D$85*100</f>
        <v>77.767670879050669</v>
      </c>
      <c r="I84" s="13">
        <f>825+807</f>
        <v>1632</v>
      </c>
      <c r="J84" s="170">
        <f>'2012 Баланс  '!C69</f>
        <v>0</v>
      </c>
      <c r="K84" s="4"/>
      <c r="L84" s="4"/>
      <c r="M84" s="4"/>
      <c r="N84" s="4"/>
      <c r="S84" s="742" t="e">
        <f>D84/$D$24*100</f>
        <v>#DIV/0!</v>
      </c>
      <c r="T84" s="492"/>
    </row>
    <row r="85" spans="1:20">
      <c r="B85" s="44" t="s">
        <v>103</v>
      </c>
      <c r="D85" s="563">
        <f>D80+D84</f>
        <v>2645.058</v>
      </c>
      <c r="E85" s="803">
        <f>SUM(E80:E84)</f>
        <v>100</v>
      </c>
      <c r="I85" s="13"/>
      <c r="J85" s="170">
        <f>SUM(J80:J84)</f>
        <v>6486.5829999999987</v>
      </c>
      <c r="K85" s="4"/>
      <c r="L85" s="4"/>
      <c r="M85" s="4"/>
      <c r="N85" s="4"/>
      <c r="S85" s="742" t="e">
        <f>D85/$D$24*100</f>
        <v>#DIV/0!</v>
      </c>
      <c r="T85" s="492"/>
    </row>
    <row r="86" spans="1:20" s="78" customFormat="1">
      <c r="A86" s="409" t="s">
        <v>934</v>
      </c>
      <c r="J86" s="800">
        <f>H27/1.18/9*12/1000</f>
        <v>0</v>
      </c>
    </row>
    <row r="87" spans="1:20" s="78" customFormat="1">
      <c r="A87" s="78" t="s">
        <v>935</v>
      </c>
      <c r="E87" s="799" t="s">
        <v>996</v>
      </c>
      <c r="F87" s="703">
        <f>$E$75/1000/1.18*1.079*$E$80/100</f>
        <v>87.894136501099325</v>
      </c>
      <c r="G87" s="91" t="s">
        <v>756</v>
      </c>
      <c r="J87" s="800"/>
    </row>
    <row r="88" spans="1:20" s="78" customFormat="1" ht="18">
      <c r="A88" s="78" t="s">
        <v>937</v>
      </c>
      <c r="I88" s="144"/>
    </row>
    <row r="89" spans="1:20" s="78" customFormat="1">
      <c r="B89" s="799" t="s">
        <v>938</v>
      </c>
      <c r="C89" s="703">
        <f>$F$87*1.06</f>
        <v>93.167784691165295</v>
      </c>
      <c r="D89" s="91" t="s">
        <v>941</v>
      </c>
      <c r="I89" s="144"/>
    </row>
    <row r="90" spans="1:20" s="78" customFormat="1">
      <c r="C90" s="801"/>
      <c r="I90" s="144"/>
    </row>
    <row r="91" spans="1:20" s="78" customFormat="1">
      <c r="A91" s="91" t="s">
        <v>939</v>
      </c>
      <c r="I91" s="144"/>
    </row>
    <row r="92" spans="1:20">
      <c r="A92" s="13" t="s">
        <v>940</v>
      </c>
    </row>
    <row r="93" spans="1:20">
      <c r="B93" s="1038"/>
      <c r="C93" s="1038"/>
      <c r="D93" s="1039" t="s">
        <v>942</v>
      </c>
      <c r="E93" s="1040">
        <f>D29+F87</f>
        <v>709.02861557737049</v>
      </c>
      <c r="F93" s="1041" t="s">
        <v>29</v>
      </c>
    </row>
    <row r="94" spans="1:20">
      <c r="B94" s="1038"/>
      <c r="C94" s="1038"/>
      <c r="D94" s="1048" t="s">
        <v>977</v>
      </c>
      <c r="E94" s="1040">
        <f>C31+C89</f>
        <v>763.3718876144618</v>
      </c>
      <c r="F94" s="1041" t="s">
        <v>29</v>
      </c>
    </row>
    <row r="95" spans="1:20">
      <c r="A95" s="43" t="s">
        <v>169</v>
      </c>
    </row>
    <row r="96" spans="1:20">
      <c r="A96" s="43" t="s">
        <v>177</v>
      </c>
    </row>
  </sheetData>
  <mergeCells count="14">
    <mergeCell ref="B49:B50"/>
    <mergeCell ref="B51:B54"/>
    <mergeCell ref="B6:B21"/>
    <mergeCell ref="C6:C8"/>
    <mergeCell ref="C9:C14"/>
    <mergeCell ref="C15:C17"/>
    <mergeCell ref="C18:C20"/>
    <mergeCell ref="B36:B48"/>
    <mergeCell ref="F40:F41"/>
    <mergeCell ref="G40:G41"/>
    <mergeCell ref="H40:H41"/>
    <mergeCell ref="F49:F50"/>
    <mergeCell ref="G49:G50"/>
    <mergeCell ref="H49:H50"/>
  </mergeCells>
  <printOptions horizontalCentered="1"/>
  <pageMargins left="0.78740157480314965" right="0.59055118110236227" top="0.78740157480314965" bottom="0.11811023622047245" header="0.51181102362204722" footer="3.937007874015748E-2"/>
  <pageSetup paperSize="9" scale="81" orientation="portrait" r:id="rId1"/>
  <headerFooter alignWithMargins="0">
    <oddFooter>&amp;R&amp;P</oddFooter>
  </headerFooter>
  <rowBreaks count="1" manualBreakCount="1">
    <brk id="32" max="16383" man="1"/>
  </rowBreaks>
  <colBreaks count="1" manualBreakCount="1">
    <brk id="8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48"/>
  <sheetViews>
    <sheetView zoomScaleNormal="100" workbookViewId="0">
      <pane ySplit="3" topLeftCell="A4" activePane="bottomLeft" state="frozenSplit"/>
      <selection activeCell="K8" sqref="K8"/>
      <selection pane="bottomLeft" activeCell="K8" sqref="K8"/>
    </sheetView>
  </sheetViews>
  <sheetFormatPr defaultColWidth="9.109375" defaultRowHeight="15.6"/>
  <cols>
    <col min="1" max="1" width="3.33203125" style="13" customWidth="1"/>
    <col min="2" max="2" width="23.88671875" style="13" customWidth="1"/>
    <col min="3" max="3" width="8.88671875" style="13" customWidth="1"/>
    <col min="4" max="4" width="16.5546875" style="13" customWidth="1"/>
    <col min="5" max="5" width="14" style="13" customWidth="1"/>
    <col min="6" max="6" width="9.6640625" style="13" customWidth="1"/>
    <col min="7" max="7" width="16.88671875" style="13" customWidth="1"/>
    <col min="8" max="8" width="16" style="13" customWidth="1"/>
    <col min="9" max="9" width="19.109375" style="101" customWidth="1"/>
    <col min="10" max="10" width="15.44140625" style="13" customWidth="1"/>
    <col min="11" max="11" width="11.33203125" style="13" bestFit="1" customWidth="1"/>
    <col min="12" max="16384" width="9.109375" style="13"/>
  </cols>
  <sheetData>
    <row r="1" spans="1:11" ht="47.4">
      <c r="A1" s="465" t="s">
        <v>973</v>
      </c>
      <c r="B1" s="42"/>
      <c r="C1" s="42"/>
      <c r="D1" s="42"/>
      <c r="E1" s="42"/>
      <c r="F1" s="42"/>
      <c r="G1" s="42"/>
      <c r="H1" s="42"/>
      <c r="I1" s="466"/>
      <c r="J1" s="31"/>
    </row>
    <row r="2" spans="1:11" ht="18">
      <c r="A2" s="37"/>
      <c r="B2" s="37"/>
      <c r="C2" s="37"/>
      <c r="D2" s="37"/>
      <c r="E2" s="467"/>
      <c r="F2" s="37"/>
      <c r="G2" s="705" t="s">
        <v>746</v>
      </c>
      <c r="H2" s="467"/>
      <c r="I2" s="468"/>
      <c r="J2" s="31"/>
    </row>
    <row r="3" spans="1:11" ht="44.4">
      <c r="A3" s="36" t="s">
        <v>171</v>
      </c>
      <c r="B3" s="469" t="s">
        <v>534</v>
      </c>
      <c r="C3" s="469" t="s">
        <v>535</v>
      </c>
      <c r="D3" s="469" t="s">
        <v>536</v>
      </c>
      <c r="E3" s="470" t="s">
        <v>537</v>
      </c>
      <c r="F3" s="469" t="s">
        <v>535</v>
      </c>
      <c r="G3" s="469" t="s">
        <v>184</v>
      </c>
      <c r="H3" s="470" t="s">
        <v>538</v>
      </c>
      <c r="I3" s="471"/>
      <c r="J3" s="39"/>
    </row>
    <row r="4" spans="1:11">
      <c r="A4" s="1027" t="s">
        <v>867</v>
      </c>
      <c r="B4" s="1028"/>
      <c r="C4" s="1028"/>
      <c r="D4" s="1028"/>
      <c r="E4" s="1028"/>
      <c r="F4" s="1028"/>
      <c r="G4" s="1028"/>
      <c r="H4" s="1029"/>
      <c r="I4" s="471"/>
      <c r="J4" s="39"/>
    </row>
    <row r="5" spans="1:11">
      <c r="A5" s="1024" t="s">
        <v>972</v>
      </c>
      <c r="B5" s="1025"/>
      <c r="C5" s="1025"/>
      <c r="D5" s="1025"/>
      <c r="E5" s="1025"/>
      <c r="F5" s="1025"/>
      <c r="G5" s="1025"/>
      <c r="H5" s="1026"/>
      <c r="I5" s="471"/>
      <c r="J5" s="39"/>
    </row>
    <row r="6" spans="1:11" s="477" customFormat="1" ht="19.5" customHeight="1">
      <c r="A6" s="472" t="s">
        <v>21</v>
      </c>
      <c r="B6" s="1044" t="s">
        <v>967</v>
      </c>
      <c r="C6" s="797"/>
      <c r="D6" s="474"/>
      <c r="E6" s="482"/>
      <c r="F6" s="797" t="s">
        <v>969</v>
      </c>
      <c r="G6" s="474">
        <v>256</v>
      </c>
      <c r="H6" s="482">
        <v>5952</v>
      </c>
      <c r="I6" s="485"/>
      <c r="J6" s="485"/>
      <c r="K6" s="485"/>
    </row>
    <row r="7" spans="1:11" s="477" customFormat="1" ht="19.5" customHeight="1">
      <c r="A7" s="472" t="s">
        <v>22</v>
      </c>
      <c r="B7" s="1966" t="s">
        <v>868</v>
      </c>
      <c r="C7" s="797" t="s">
        <v>965</v>
      </c>
      <c r="D7" s="474" t="s">
        <v>966</v>
      </c>
      <c r="E7" s="482">
        <v>5697</v>
      </c>
      <c r="F7" s="797" t="s">
        <v>975</v>
      </c>
      <c r="G7" s="474">
        <v>112</v>
      </c>
      <c r="H7" s="482">
        <v>2490</v>
      </c>
      <c r="I7" s="485"/>
      <c r="J7" s="476"/>
    </row>
    <row r="8" spans="1:11" s="477" customFormat="1" ht="19.5" customHeight="1">
      <c r="A8" s="480" t="s">
        <v>23</v>
      </c>
      <c r="B8" s="1967"/>
      <c r="C8" s="797"/>
      <c r="D8" s="474"/>
      <c r="E8" s="482"/>
      <c r="F8" s="797" t="s">
        <v>976</v>
      </c>
      <c r="G8" s="474">
        <v>235</v>
      </c>
      <c r="H8" s="482">
        <v>5658.1</v>
      </c>
      <c r="I8" s="485"/>
      <c r="J8" s="485"/>
      <c r="K8" s="485"/>
    </row>
    <row r="9" spans="1:11" s="477" customFormat="1" ht="20.25" customHeight="1">
      <c r="A9" s="472" t="s">
        <v>24</v>
      </c>
      <c r="B9" s="1965"/>
      <c r="C9" s="797"/>
      <c r="D9" s="474"/>
      <c r="E9" s="482"/>
      <c r="F9" s="797" t="s">
        <v>970</v>
      </c>
      <c r="G9" s="474">
        <v>262</v>
      </c>
      <c r="H9" s="482">
        <v>5522.4</v>
      </c>
      <c r="I9" s="475"/>
      <c r="J9" s="476"/>
    </row>
    <row r="10" spans="1:11" s="477" customFormat="1" ht="20.25" customHeight="1">
      <c r="A10" s="480" t="s">
        <v>25</v>
      </c>
      <c r="B10" s="1965"/>
      <c r="C10" s="797"/>
      <c r="D10" s="474"/>
      <c r="E10" s="482"/>
      <c r="F10" s="797" t="s">
        <v>971</v>
      </c>
      <c r="G10" s="474">
        <v>287</v>
      </c>
      <c r="H10" s="482">
        <v>8968</v>
      </c>
      <c r="I10" s="485"/>
      <c r="J10" s="476"/>
    </row>
    <row r="11" spans="1:11" s="477" customFormat="1" ht="20.25" customHeight="1">
      <c r="A11" s="480" t="s">
        <v>26</v>
      </c>
      <c r="B11" s="1965"/>
      <c r="C11" s="797"/>
      <c r="D11" s="474"/>
      <c r="E11" s="482"/>
      <c r="F11" s="797" t="s">
        <v>974</v>
      </c>
      <c r="G11" s="474">
        <v>302</v>
      </c>
      <c r="H11" s="482">
        <v>18874.099999999999</v>
      </c>
      <c r="I11" s="475"/>
      <c r="J11" s="476"/>
    </row>
    <row r="12" spans="1:11" s="477" customFormat="1" ht="20.25" hidden="1" customHeight="1">
      <c r="A12" s="480" t="s">
        <v>27</v>
      </c>
      <c r="B12" s="1965"/>
      <c r="C12" s="797"/>
      <c r="D12" s="474"/>
      <c r="E12" s="482"/>
      <c r="F12" s="797"/>
      <c r="G12" s="474"/>
      <c r="H12" s="482"/>
      <c r="I12" s="485"/>
      <c r="J12" s="485"/>
      <c r="K12" s="485"/>
    </row>
    <row r="13" spans="1:11" s="477" customFormat="1" ht="20.25" hidden="1" customHeight="1">
      <c r="A13" s="480" t="s">
        <v>28</v>
      </c>
      <c r="B13" s="1965"/>
      <c r="C13" s="1030"/>
      <c r="D13" s="1031"/>
      <c r="E13" s="1032"/>
      <c r="F13" s="797"/>
      <c r="G13" s="474"/>
      <c r="H13" s="482"/>
      <c r="J13" s="485"/>
      <c r="K13" s="485"/>
    </row>
    <row r="14" spans="1:11" s="477" customFormat="1" ht="20.25" hidden="1" customHeight="1">
      <c r="A14" s="480" t="s">
        <v>162</v>
      </c>
      <c r="B14" s="1965"/>
      <c r="C14" s="797"/>
      <c r="D14" s="474"/>
      <c r="E14" s="482"/>
      <c r="F14" s="797"/>
      <c r="G14" s="474"/>
      <c r="H14" s="482"/>
      <c r="I14" s="485"/>
      <c r="J14" s="475"/>
    </row>
    <row r="15" spans="1:11" s="477" customFormat="1" ht="20.25" hidden="1" customHeight="1">
      <c r="A15" s="480" t="s">
        <v>163</v>
      </c>
      <c r="B15" s="1965"/>
      <c r="C15" s="797"/>
      <c r="D15" s="474"/>
      <c r="E15" s="482"/>
      <c r="F15" s="797"/>
      <c r="G15" s="474"/>
      <c r="H15" s="482"/>
      <c r="I15" s="485"/>
      <c r="J15" s="485"/>
      <c r="K15" s="485"/>
    </row>
    <row r="16" spans="1:11" s="477" customFormat="1" ht="20.25" hidden="1" customHeight="1">
      <c r="A16" s="472" t="s">
        <v>161</v>
      </c>
      <c r="B16" s="1965"/>
      <c r="C16" s="797"/>
      <c r="D16" s="474"/>
      <c r="E16" s="482"/>
      <c r="F16" s="797"/>
      <c r="G16" s="474"/>
      <c r="H16" s="482"/>
      <c r="I16" s="485"/>
      <c r="J16" s="485"/>
      <c r="K16" s="485"/>
    </row>
    <row r="17" spans="1:11" s="477" customFormat="1" ht="20.25" hidden="1" customHeight="1">
      <c r="A17" s="472" t="s">
        <v>164</v>
      </c>
      <c r="B17" s="1965"/>
      <c r="C17" s="797"/>
      <c r="D17" s="474"/>
      <c r="E17" s="482"/>
      <c r="F17" s="797"/>
      <c r="G17" s="474"/>
      <c r="H17" s="482"/>
      <c r="I17" s="485"/>
      <c r="J17" s="485"/>
    </row>
    <row r="18" spans="1:11" s="477" customFormat="1" ht="20.25" hidden="1" customHeight="1">
      <c r="A18" s="472" t="s">
        <v>238</v>
      </c>
      <c r="B18" s="1965"/>
      <c r="C18" s="797"/>
      <c r="D18" s="474"/>
      <c r="E18" s="482"/>
      <c r="F18" s="797"/>
      <c r="G18" s="474"/>
      <c r="H18" s="482"/>
      <c r="I18" s="485"/>
      <c r="J18" s="485"/>
      <c r="K18" s="485"/>
    </row>
    <row r="19" spans="1:11" s="477" customFormat="1" ht="19.5" hidden="1" customHeight="1">
      <c r="A19" s="472" t="s">
        <v>899</v>
      </c>
      <c r="B19" s="1968"/>
      <c r="C19" s="797"/>
      <c r="D19" s="474"/>
      <c r="E19" s="482"/>
      <c r="F19" s="797"/>
      <c r="G19" s="474"/>
      <c r="H19" s="482"/>
      <c r="I19" s="485"/>
      <c r="J19" s="476"/>
    </row>
    <row r="20" spans="1:11" s="477" customFormat="1" ht="19.5" hidden="1" customHeight="1">
      <c r="A20" s="472" t="s">
        <v>900</v>
      </c>
      <c r="B20" s="1961" t="s">
        <v>868</v>
      </c>
      <c r="C20" s="797"/>
      <c r="D20" s="474"/>
      <c r="E20" s="482"/>
      <c r="F20" s="797"/>
      <c r="G20" s="474"/>
      <c r="H20" s="482"/>
      <c r="I20" s="485"/>
      <c r="J20" s="476"/>
    </row>
    <row r="21" spans="1:11" s="477" customFormat="1" ht="19.5" hidden="1" customHeight="1">
      <c r="A21" s="472" t="s">
        <v>901</v>
      </c>
      <c r="B21" s="1963"/>
      <c r="C21" s="797"/>
      <c r="D21" s="474"/>
      <c r="E21" s="482"/>
      <c r="F21" s="797"/>
      <c r="G21" s="474"/>
      <c r="H21" s="482"/>
      <c r="I21" s="485"/>
      <c r="J21" s="476"/>
    </row>
    <row r="22" spans="1:11" s="477" customFormat="1" ht="19.5" hidden="1" customHeight="1">
      <c r="A22" s="472" t="s">
        <v>902</v>
      </c>
      <c r="B22" s="1963"/>
      <c r="C22" s="797"/>
      <c r="D22" s="474"/>
      <c r="E22" s="482"/>
      <c r="F22" s="797"/>
      <c r="G22" s="474"/>
      <c r="H22" s="482"/>
      <c r="I22" s="485"/>
    </row>
    <row r="23" spans="1:11" s="477" customFormat="1" ht="19.5" hidden="1" customHeight="1">
      <c r="A23" s="472" t="s">
        <v>903</v>
      </c>
      <c r="B23" s="1962"/>
      <c r="C23" s="797"/>
      <c r="D23" s="474"/>
      <c r="E23" s="482"/>
      <c r="F23" s="797"/>
      <c r="G23" s="474"/>
      <c r="H23" s="482"/>
      <c r="I23" s="485"/>
      <c r="J23" s="485"/>
      <c r="K23" s="485"/>
    </row>
    <row r="24" spans="1:11" s="477" customFormat="1" ht="19.5" hidden="1" customHeight="1">
      <c r="A24" s="472" t="s">
        <v>904</v>
      </c>
      <c r="B24" s="798" t="s">
        <v>892</v>
      </c>
      <c r="C24" s="797"/>
      <c r="D24" s="474"/>
      <c r="E24" s="482"/>
      <c r="F24" s="797"/>
      <c r="G24" s="474"/>
      <c r="H24" s="482"/>
      <c r="I24" s="485"/>
      <c r="J24" s="476"/>
    </row>
    <row r="25" spans="1:11" s="477" customFormat="1" ht="19.5" hidden="1" customHeight="1">
      <c r="A25" s="472" t="s">
        <v>905</v>
      </c>
      <c r="B25" s="798" t="s">
        <v>868</v>
      </c>
      <c r="C25" s="1030"/>
      <c r="D25" s="1031"/>
      <c r="E25" s="1032"/>
      <c r="F25" s="797"/>
      <c r="G25" s="474"/>
      <c r="H25" s="482"/>
      <c r="I25" s="485"/>
      <c r="J25" s="476"/>
    </row>
    <row r="26" spans="1:11" s="477" customFormat="1" ht="19.5" hidden="1" customHeight="1">
      <c r="A26" s="472" t="s">
        <v>906</v>
      </c>
      <c r="B26" s="798"/>
      <c r="C26" s="797"/>
      <c r="D26" s="474"/>
      <c r="E26" s="482"/>
      <c r="F26" s="797"/>
      <c r="G26" s="474"/>
      <c r="H26" s="482"/>
      <c r="I26" s="485"/>
      <c r="J26" s="476"/>
    </row>
    <row r="27" spans="1:11" s="477" customFormat="1" ht="19.5" hidden="1" customHeight="1">
      <c r="A27" s="472" t="s">
        <v>907</v>
      </c>
      <c r="B27" s="798"/>
      <c r="C27" s="797"/>
      <c r="D27" s="474"/>
      <c r="E27" s="482"/>
      <c r="F27" s="797"/>
      <c r="G27" s="474"/>
      <c r="H27" s="482"/>
      <c r="I27" s="485"/>
      <c r="J27" s="476"/>
    </row>
    <row r="28" spans="1:11" s="477" customFormat="1" ht="19.5" hidden="1" customHeight="1">
      <c r="A28" s="472" t="s">
        <v>908</v>
      </c>
      <c r="B28" s="798"/>
      <c r="C28" s="797"/>
      <c r="D28" s="474"/>
      <c r="E28" s="482"/>
      <c r="F28" s="797"/>
      <c r="G28" s="474"/>
      <c r="H28" s="482"/>
      <c r="I28" s="485"/>
      <c r="J28" s="485"/>
    </row>
    <row r="29" spans="1:11" s="477" customFormat="1" ht="19.5" hidden="1" customHeight="1">
      <c r="A29" s="472" t="s">
        <v>909</v>
      </c>
      <c r="B29" s="798"/>
      <c r="C29" s="797"/>
      <c r="D29" s="474"/>
      <c r="E29" s="482"/>
      <c r="F29" s="797"/>
      <c r="G29" s="474"/>
      <c r="H29" s="482"/>
      <c r="I29" s="485"/>
      <c r="J29" s="476"/>
    </row>
    <row r="30" spans="1:11" s="477" customFormat="1" ht="19.5" hidden="1" customHeight="1">
      <c r="A30" s="472" t="s">
        <v>925</v>
      </c>
      <c r="B30" s="798"/>
      <c r="C30" s="797"/>
      <c r="D30" s="474"/>
      <c r="E30" s="482"/>
      <c r="F30" s="797"/>
      <c r="G30" s="474"/>
      <c r="H30" s="482"/>
      <c r="I30" s="485"/>
      <c r="J30" s="476"/>
    </row>
    <row r="31" spans="1:11" s="477" customFormat="1" ht="21" hidden="1" customHeight="1">
      <c r="A31" s="472" t="s">
        <v>968</v>
      </c>
      <c r="B31" s="798"/>
      <c r="C31" s="797"/>
      <c r="D31" s="474"/>
      <c r="E31" s="482"/>
      <c r="F31" s="797"/>
      <c r="G31" s="474"/>
      <c r="H31" s="482"/>
      <c r="I31" s="485"/>
      <c r="J31" s="476"/>
    </row>
    <row r="32" spans="1:11" s="477" customFormat="1" ht="19.5" hidden="1" customHeight="1">
      <c r="A32" s="472"/>
      <c r="B32" s="462"/>
      <c r="C32" s="797"/>
      <c r="D32" s="474"/>
      <c r="E32" s="482"/>
      <c r="F32" s="797"/>
      <c r="G32" s="474"/>
      <c r="H32" s="482"/>
      <c r="I32" s="485"/>
      <c r="J32" s="476"/>
    </row>
    <row r="33" spans="1:10" s="477" customFormat="1" ht="19.5" hidden="1" customHeight="1">
      <c r="A33" s="472"/>
      <c r="B33" s="462"/>
      <c r="C33" s="797"/>
      <c r="D33" s="474"/>
      <c r="E33" s="482"/>
      <c r="F33" s="797"/>
      <c r="G33" s="474"/>
      <c r="H33" s="482"/>
      <c r="I33" s="485"/>
      <c r="J33" s="476"/>
    </row>
    <row r="34" spans="1:10" s="477" customFormat="1" ht="19.5" hidden="1" customHeight="1">
      <c r="A34" s="472"/>
      <c r="B34" s="462"/>
      <c r="C34" s="797"/>
      <c r="D34" s="474"/>
      <c r="E34" s="482"/>
      <c r="F34" s="797"/>
      <c r="G34" s="474"/>
      <c r="H34" s="482"/>
      <c r="I34" s="485"/>
      <c r="J34" s="476"/>
    </row>
    <row r="35" spans="1:10" s="477" customFormat="1" ht="19.5" hidden="1" customHeight="1">
      <c r="A35" s="472"/>
      <c r="B35" s="462"/>
      <c r="C35" s="797"/>
      <c r="D35" s="474"/>
      <c r="E35" s="482"/>
      <c r="F35" s="797"/>
      <c r="G35" s="474"/>
      <c r="H35" s="482"/>
      <c r="I35" s="485"/>
      <c r="J35" s="476"/>
    </row>
    <row r="36" spans="1:10" s="477" customFormat="1" ht="19.5" hidden="1" customHeight="1">
      <c r="A36" s="472"/>
      <c r="B36" s="462"/>
      <c r="C36" s="797"/>
      <c r="D36" s="474"/>
      <c r="E36" s="482"/>
      <c r="F36" s="797"/>
      <c r="G36" s="474"/>
      <c r="H36" s="482"/>
      <c r="I36" s="485"/>
      <c r="J36" s="476"/>
    </row>
    <row r="37" spans="1:10" s="477" customFormat="1" ht="19.5" hidden="1" customHeight="1">
      <c r="A37" s="472"/>
      <c r="B37" s="462"/>
      <c r="C37" s="797"/>
      <c r="D37" s="474"/>
      <c r="E37" s="482"/>
      <c r="F37" s="797"/>
      <c r="G37" s="474"/>
      <c r="H37" s="482"/>
      <c r="I37" s="485"/>
      <c r="J37" s="476"/>
    </row>
    <row r="38" spans="1:10" s="477" customFormat="1" ht="19.5" hidden="1" customHeight="1">
      <c r="A38" s="472"/>
      <c r="B38" s="462"/>
      <c r="C38" s="797"/>
      <c r="D38" s="474"/>
      <c r="E38" s="482"/>
      <c r="F38" s="797"/>
      <c r="G38" s="474"/>
      <c r="H38" s="482"/>
      <c r="I38" s="485"/>
      <c r="J38" s="476"/>
    </row>
    <row r="39" spans="1:10" s="477" customFormat="1" ht="19.5" hidden="1" customHeight="1">
      <c r="A39" s="472"/>
      <c r="B39" s="462"/>
      <c r="C39" s="797"/>
      <c r="D39" s="474"/>
      <c r="E39" s="482"/>
      <c r="F39" s="797"/>
      <c r="G39" s="474"/>
      <c r="H39" s="482"/>
      <c r="I39" s="485"/>
      <c r="J39" s="476"/>
    </row>
    <row r="40" spans="1:10" s="477" customFormat="1" ht="19.5" hidden="1" customHeight="1">
      <c r="A40" s="472"/>
      <c r="B40" s="462"/>
      <c r="C40" s="797"/>
      <c r="D40" s="474"/>
      <c r="E40" s="482"/>
      <c r="F40" s="797"/>
      <c r="G40" s="474"/>
      <c r="H40" s="482"/>
      <c r="I40" s="485"/>
      <c r="J40" s="476"/>
    </row>
    <row r="41" spans="1:10" s="477" customFormat="1" ht="19.5" hidden="1" customHeight="1">
      <c r="A41" s="472"/>
      <c r="B41" s="462"/>
      <c r="C41" s="797"/>
      <c r="D41" s="474"/>
      <c r="E41" s="482"/>
      <c r="F41" s="797"/>
      <c r="G41" s="474"/>
      <c r="H41" s="482"/>
      <c r="I41" s="485"/>
      <c r="J41" s="476"/>
    </row>
    <row r="42" spans="1:10" s="477" customFormat="1" ht="19.5" hidden="1" customHeight="1">
      <c r="A42" s="472"/>
      <c r="B42" s="462"/>
      <c r="C42" s="797"/>
      <c r="D42" s="474"/>
      <c r="E42" s="482"/>
      <c r="F42" s="797"/>
      <c r="G42" s="474"/>
      <c r="H42" s="482"/>
      <c r="I42" s="485"/>
      <c r="J42" s="476"/>
    </row>
    <row r="43" spans="1:10" s="477" customFormat="1" ht="19.5" hidden="1" customHeight="1">
      <c r="A43" s="472"/>
      <c r="B43" s="462"/>
      <c r="C43" s="797"/>
      <c r="D43" s="474"/>
      <c r="E43" s="482"/>
      <c r="F43" s="797"/>
      <c r="G43" s="474"/>
      <c r="H43" s="482"/>
      <c r="I43" s="485"/>
      <c r="J43" s="476"/>
    </row>
    <row r="44" spans="1:10">
      <c r="A44" s="479" t="s">
        <v>103</v>
      </c>
      <c r="B44" s="481"/>
      <c r="C44" s="473"/>
      <c r="D44" s="478"/>
      <c r="E44" s="484">
        <f>SUM(E7:E43)</f>
        <v>5697</v>
      </c>
      <c r="F44" s="486"/>
      <c r="G44" s="486"/>
      <c r="H44" s="484">
        <f>SUM(H7:H43)</f>
        <v>41512.6</v>
      </c>
      <c r="I44" s="471"/>
      <c r="J44" s="39"/>
    </row>
    <row r="45" spans="1:10">
      <c r="A45" s="1046"/>
      <c r="B45" s="487"/>
      <c r="C45" s="488"/>
      <c r="D45" s="489"/>
      <c r="E45" s="490"/>
      <c r="F45" s="34"/>
      <c r="G45" s="34"/>
      <c r="H45" s="490"/>
      <c r="I45" s="471"/>
      <c r="J45" s="39"/>
    </row>
    <row r="46" spans="1:10" ht="16.5" customHeight="1">
      <c r="A46" s="1046"/>
      <c r="B46" s="487"/>
      <c r="C46" s="488"/>
      <c r="D46" s="489"/>
      <c r="E46" s="490"/>
      <c r="F46" s="34"/>
      <c r="G46" s="34"/>
      <c r="H46" s="490"/>
      <c r="I46" s="471"/>
      <c r="J46" s="39"/>
    </row>
    <row r="47" spans="1:10">
      <c r="A47" s="43" t="s">
        <v>169</v>
      </c>
    </row>
    <row r="48" spans="1:10">
      <c r="A48" s="43" t="s">
        <v>177</v>
      </c>
    </row>
  </sheetData>
  <mergeCells count="2">
    <mergeCell ref="B20:B23"/>
    <mergeCell ref="B7:B19"/>
  </mergeCells>
  <printOptions horizontalCentered="1"/>
  <pageMargins left="0.78740157480314965" right="0.59055118110236227" top="0.78740157480314965" bottom="0.11811023622047245" header="0.51181102362204722" footer="3.937007874015748E-2"/>
  <pageSetup paperSize="9" scale="81" orientation="portrait" r:id="rId1"/>
  <headerFooter alignWithMargins="0">
    <oddFooter>&amp;R&amp;P</oddFooter>
  </headerFooter>
  <colBreaks count="1" manualBreakCount="1">
    <brk id="8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66"/>
  </sheetPr>
  <dimension ref="A1:I28"/>
  <sheetViews>
    <sheetView zoomScaleNormal="100" workbookViewId="0">
      <pane ySplit="5" topLeftCell="A12" activePane="bottomLeft" state="frozenSplit"/>
      <selection activeCell="K8" sqref="K8"/>
      <selection pane="bottomLeft" activeCell="K8" sqref="K8"/>
    </sheetView>
  </sheetViews>
  <sheetFormatPr defaultColWidth="9.109375" defaultRowHeight="15.6"/>
  <cols>
    <col min="1" max="1" width="4.5546875" style="13" customWidth="1"/>
    <col min="2" max="2" width="72.88671875" style="13" customWidth="1"/>
    <col min="3" max="3" width="21.6640625" style="13" customWidth="1"/>
    <col min="4" max="4" width="45.88671875" style="13" customWidth="1"/>
    <col min="5" max="5" width="17" style="13" customWidth="1"/>
    <col min="6" max="16384" width="9.109375" style="13"/>
  </cols>
  <sheetData>
    <row r="1" spans="1:9" ht="18">
      <c r="A1" s="465" t="s">
        <v>586</v>
      </c>
      <c r="B1" s="42"/>
      <c r="C1" s="42"/>
      <c r="D1" s="42"/>
      <c r="E1" s="42"/>
    </row>
    <row r="2" spans="1:9" ht="25.5" customHeight="1">
      <c r="A2" s="465" t="s">
        <v>754</v>
      </c>
      <c r="B2" s="42"/>
      <c r="C2" s="42"/>
      <c r="D2" s="42"/>
      <c r="E2" s="42"/>
    </row>
    <row r="3" spans="1:9" ht="18">
      <c r="A3" s="37"/>
      <c r="B3" s="37"/>
      <c r="C3" s="37"/>
      <c r="D3" s="705" t="s">
        <v>746</v>
      </c>
      <c r="E3" s="80" t="s">
        <v>198</v>
      </c>
    </row>
    <row r="4" spans="1:9" ht="33.75" customHeight="1">
      <c r="A4" s="36" t="s">
        <v>171</v>
      </c>
      <c r="B4" s="35" t="s">
        <v>199</v>
      </c>
      <c r="C4" s="35" t="s">
        <v>169</v>
      </c>
      <c r="D4" s="35" t="s">
        <v>170</v>
      </c>
      <c r="E4" s="56" t="s">
        <v>752</v>
      </c>
    </row>
    <row r="5" spans="1:9" ht="21" customHeight="1">
      <c r="A5" s="36"/>
      <c r="B5" s="35"/>
      <c r="C5" s="35"/>
      <c r="D5" s="35"/>
      <c r="E5" s="81" t="s">
        <v>29</v>
      </c>
    </row>
    <row r="6" spans="1:9" ht="16.2">
      <c r="A6" s="82" t="s">
        <v>200</v>
      </c>
      <c r="B6" s="83"/>
      <c r="C6" s="83"/>
      <c r="D6" s="84"/>
      <c r="E6" s="84"/>
    </row>
    <row r="7" spans="1:9" s="95" customFormat="1" ht="50.25" hidden="1" customHeight="1">
      <c r="A7" s="1950">
        <v>1</v>
      </c>
      <c r="B7" s="187"/>
      <c r="C7" s="188"/>
      <c r="D7" s="189"/>
      <c r="E7" s="87"/>
      <c r="I7" s="493">
        <f>(71.4+71+40+30)/1.18</f>
        <v>180.00000000000003</v>
      </c>
    </row>
    <row r="8" spans="1:9" s="78" customFormat="1" hidden="1">
      <c r="A8" s="1950"/>
      <c r="B8" s="187"/>
      <c r="C8" s="188"/>
      <c r="D8" s="189"/>
      <c r="E8" s="87"/>
    </row>
    <row r="9" spans="1:9" s="78" customFormat="1" hidden="1">
      <c r="A9" s="1950"/>
      <c r="B9" s="187"/>
      <c r="C9" s="188"/>
      <c r="D9" s="189"/>
      <c r="E9" s="87"/>
      <c r="F9" s="510">
        <f>SUM(E7:E9)</f>
        <v>0</v>
      </c>
    </row>
    <row r="10" spans="1:9" s="78" customFormat="1" ht="40.5" customHeight="1">
      <c r="A10" s="85">
        <v>1</v>
      </c>
      <c r="B10" s="85" t="str">
        <f>'РСЭО 2012г.'!B25</f>
        <v xml:space="preserve"> Ежегодное медицинское освидетельствование электротехнического персонала</v>
      </c>
      <c r="C10" s="86"/>
      <c r="D10" s="186"/>
      <c r="E10" s="87">
        <f>273*1.079-158.9</f>
        <v>135.667</v>
      </c>
    </row>
    <row r="11" spans="1:9" s="78" customFormat="1" ht="51.75" customHeight="1">
      <c r="A11" s="85">
        <v>2</v>
      </c>
      <c r="B11" s="85" t="s">
        <v>751</v>
      </c>
      <c r="C11" s="86"/>
      <c r="D11" s="186"/>
      <c r="E11" s="87">
        <v>30</v>
      </c>
    </row>
    <row r="12" spans="1:9" s="78" customFormat="1" ht="53.25" customHeight="1">
      <c r="A12" s="85">
        <v>3</v>
      </c>
      <c r="B12" s="85" t="s">
        <v>998</v>
      </c>
      <c r="C12" s="86" t="s">
        <v>799</v>
      </c>
      <c r="D12" s="186" t="s">
        <v>1290</v>
      </c>
      <c r="E12" s="87">
        <f>1.7+3.4+1.7</f>
        <v>6.8</v>
      </c>
      <c r="F12" s="78">
        <f>8+5.1+1.7+35.7+1.7</f>
        <v>52.2</v>
      </c>
      <c r="G12" s="78" t="s">
        <v>800</v>
      </c>
    </row>
    <row r="13" spans="1:9" s="78" customFormat="1" ht="40.5" customHeight="1">
      <c r="A13" s="85">
        <v>4</v>
      </c>
      <c r="B13" s="85" t="s">
        <v>173</v>
      </c>
      <c r="C13" s="86" t="s">
        <v>172</v>
      </c>
      <c r="D13" s="186" t="s">
        <v>803</v>
      </c>
      <c r="E13" s="87">
        <f>59-9</f>
        <v>50</v>
      </c>
    </row>
    <row r="14" spans="1:9" s="78" customFormat="1" ht="55.5" customHeight="1">
      <c r="A14" s="85">
        <v>5</v>
      </c>
      <c r="B14" s="85" t="s">
        <v>801</v>
      </c>
      <c r="C14" s="86"/>
      <c r="D14" s="186" t="s">
        <v>805</v>
      </c>
      <c r="E14" s="87">
        <f>17-2.59321</f>
        <v>14.406790000000001</v>
      </c>
    </row>
    <row r="15" spans="1:9" s="78" customFormat="1" ht="55.5" customHeight="1">
      <c r="A15" s="85">
        <v>6</v>
      </c>
      <c r="B15" s="712" t="s">
        <v>802</v>
      </c>
      <c r="C15" s="86" t="s">
        <v>172</v>
      </c>
      <c r="D15" s="186" t="s">
        <v>804</v>
      </c>
      <c r="E15" s="87">
        <f>70-10.67796</f>
        <v>59.322040000000001</v>
      </c>
    </row>
    <row r="16" spans="1:9" s="91" customFormat="1" ht="26.25" customHeight="1">
      <c r="A16" s="89"/>
      <c r="B16" s="89" t="s">
        <v>543</v>
      </c>
      <c r="C16" s="89"/>
      <c r="D16" s="89"/>
      <c r="E16" s="90">
        <f>SUM(E7:E15)</f>
        <v>296.19583</v>
      </c>
    </row>
    <row r="17" spans="1:5" s="91" customFormat="1" ht="18" customHeight="1">
      <c r="A17" s="89"/>
      <c r="B17" s="508" t="s">
        <v>584</v>
      </c>
      <c r="C17" s="89"/>
      <c r="D17" s="89"/>
      <c r="E17" s="511">
        <f>SUM(E7:E9)</f>
        <v>0</v>
      </c>
    </row>
    <row r="18" spans="1:5" ht="16.2">
      <c r="A18" s="82" t="s">
        <v>540</v>
      </c>
      <c r="B18" s="83"/>
      <c r="C18" s="83"/>
      <c r="D18" s="84"/>
      <c r="E18" s="84"/>
    </row>
    <row r="19" spans="1:5" s="78" customFormat="1" ht="57" customHeight="1">
      <c r="A19" s="85">
        <v>4</v>
      </c>
      <c r="B19" s="509" t="s">
        <v>582</v>
      </c>
      <c r="C19" s="86" t="s">
        <v>539</v>
      </c>
      <c r="D19" s="186" t="s">
        <v>542</v>
      </c>
      <c r="E19" s="87">
        <f>'Реестр всп.мат.2010 пром.+ПСХ'!E93</f>
        <v>709.02861557737049</v>
      </c>
    </row>
    <row r="20" spans="1:5" s="91" customFormat="1" ht="26.25" customHeight="1">
      <c r="A20" s="89"/>
      <c r="B20" s="89" t="s">
        <v>544</v>
      </c>
      <c r="C20" s="89"/>
      <c r="D20" s="89"/>
      <c r="E20" s="90">
        <f>E19</f>
        <v>709.02861557737049</v>
      </c>
    </row>
    <row r="21" spans="1:5" s="91" customFormat="1" ht="26.25" customHeight="1">
      <c r="A21" s="89"/>
      <c r="B21" s="89" t="s">
        <v>186</v>
      </c>
      <c r="C21" s="89"/>
      <c r="D21" s="89"/>
      <c r="E21" s="90">
        <f>E16+E20</f>
        <v>1005.2244455773705</v>
      </c>
    </row>
    <row r="22" spans="1:5" s="78" customFormat="1" ht="11.25" customHeight="1">
      <c r="A22" s="88"/>
      <c r="B22" s="88"/>
      <c r="C22" s="88"/>
      <c r="D22" s="88"/>
      <c r="E22" s="88"/>
    </row>
    <row r="23" spans="1:5" s="92" customFormat="1" ht="13.8">
      <c r="D23" s="93"/>
    </row>
    <row r="24" spans="1:5" s="47" customFormat="1" ht="22.5" customHeight="1">
      <c r="A24" s="47" t="s">
        <v>201</v>
      </c>
      <c r="C24" s="94"/>
      <c r="D24" s="94"/>
      <c r="E24" s="94"/>
    </row>
    <row r="25" spans="1:5" s="47" customFormat="1" ht="22.5" customHeight="1">
      <c r="A25" s="47" t="s">
        <v>807</v>
      </c>
      <c r="C25" s="94"/>
      <c r="D25" s="94"/>
      <c r="E25" s="94"/>
    </row>
    <row r="26" spans="1:5" s="47" customFormat="1" ht="22.5" customHeight="1">
      <c r="C26" s="94"/>
      <c r="D26" s="94"/>
      <c r="E26" s="94"/>
    </row>
    <row r="27" spans="1:5">
      <c r="A27" s="43" t="s">
        <v>169</v>
      </c>
      <c r="B27" s="34"/>
      <c r="C27" s="34"/>
      <c r="D27" s="34"/>
      <c r="E27" s="34"/>
    </row>
    <row r="28" spans="1:5">
      <c r="A28" s="43" t="s">
        <v>177</v>
      </c>
    </row>
  </sheetData>
  <mergeCells count="1">
    <mergeCell ref="A7:A9"/>
  </mergeCells>
  <phoneticPr fontId="19" type="noConversion"/>
  <printOptions horizontalCentered="1"/>
  <pageMargins left="0.39370078740157483" right="0.39370078740157483" top="0.78740157480314965" bottom="3.937007874015748E-2" header="3.937007874015748E-2" footer="3.937007874015748E-2"/>
  <pageSetup paperSize="9" scale="77" orientation="landscape" r:id="rId1"/>
  <headerFooter alignWithMargins="0"/>
  <colBreaks count="1" manualBreakCount="1">
    <brk id="5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64"/>
  <sheetViews>
    <sheetView topLeftCell="A7" zoomScaleNormal="100" workbookViewId="0">
      <selection activeCell="K8" sqref="K8"/>
    </sheetView>
  </sheetViews>
  <sheetFormatPr defaultColWidth="9.109375" defaultRowHeight="15.6"/>
  <cols>
    <col min="1" max="1" width="4.5546875" style="13" customWidth="1"/>
    <col min="2" max="2" width="55.44140625" style="13" customWidth="1"/>
    <col min="3" max="3" width="20.88671875" style="13" hidden="1" customWidth="1"/>
    <col min="4" max="4" width="33.109375" style="13" customWidth="1"/>
    <col min="5" max="5" width="17" style="13" customWidth="1"/>
    <col min="6" max="16384" width="9.109375" style="13"/>
  </cols>
  <sheetData>
    <row r="1" spans="1:9" ht="18">
      <c r="A1" s="465" t="s">
        <v>541</v>
      </c>
      <c r="B1" s="42"/>
      <c r="C1" s="42"/>
      <c r="D1" s="42"/>
      <c r="E1" s="42"/>
    </row>
    <row r="2" spans="1:9" ht="25.5" customHeight="1">
      <c r="A2" s="465" t="s">
        <v>806</v>
      </c>
      <c r="B2" s="42"/>
      <c r="C2" s="42"/>
      <c r="D2" s="42"/>
      <c r="E2" s="42"/>
    </row>
    <row r="3" spans="1:9" ht="25.5" customHeight="1">
      <c r="A3" s="465"/>
      <c r="B3" s="42"/>
      <c r="C3" s="42"/>
      <c r="D3" s="42"/>
      <c r="E3" s="42"/>
    </row>
    <row r="4" spans="1:9" ht="25.5" customHeight="1">
      <c r="A4" s="1059" t="s">
        <v>995</v>
      </c>
      <c r="B4" s="42"/>
      <c r="C4" s="42"/>
      <c r="D4" s="42"/>
      <c r="E4" s="42"/>
    </row>
    <row r="5" spans="1:9" ht="18">
      <c r="A5" s="37"/>
      <c r="B5" s="37"/>
      <c r="C5" s="37"/>
      <c r="D5" s="705" t="s">
        <v>746</v>
      </c>
      <c r="E5" s="80" t="s">
        <v>198</v>
      </c>
    </row>
    <row r="6" spans="1:9" ht="22.5" customHeight="1">
      <c r="A6" s="36" t="s">
        <v>171</v>
      </c>
      <c r="B6" s="35" t="s">
        <v>547</v>
      </c>
      <c r="C6" s="35" t="s">
        <v>169</v>
      </c>
      <c r="D6" s="35" t="s">
        <v>170</v>
      </c>
      <c r="E6" s="56" t="s">
        <v>753</v>
      </c>
    </row>
    <row r="7" spans="1:9" ht="21" customHeight="1">
      <c r="A7" s="36"/>
      <c r="B7" s="35"/>
      <c r="C7" s="35"/>
      <c r="D7" s="35"/>
      <c r="E7" s="81" t="s">
        <v>29</v>
      </c>
    </row>
    <row r="8" spans="1:9" ht="16.2">
      <c r="A8" s="82" t="s">
        <v>200</v>
      </c>
      <c r="B8" s="83"/>
      <c r="C8" s="83"/>
      <c r="D8" s="84"/>
      <c r="E8" s="84"/>
    </row>
    <row r="9" spans="1:9" s="78" customFormat="1" ht="19.5" hidden="1" customHeight="1">
      <c r="A9" s="85" t="s">
        <v>21</v>
      </c>
      <c r="B9" s="85" t="s">
        <v>585</v>
      </c>
      <c r="C9" s="1969" t="s">
        <v>563</v>
      </c>
      <c r="D9" s="1950" t="s">
        <v>991</v>
      </c>
      <c r="E9" s="496">
        <f>E10+E18</f>
        <v>0</v>
      </c>
    </row>
    <row r="10" spans="1:9" s="95" customFormat="1" ht="17.25" hidden="1" customHeight="1">
      <c r="A10" s="500" t="s">
        <v>227</v>
      </c>
      <c r="B10" s="494" t="s">
        <v>551</v>
      </c>
      <c r="C10" s="1970"/>
      <c r="D10" s="1950"/>
      <c r="E10" s="496">
        <f>SUM(E12:E17)</f>
        <v>0</v>
      </c>
      <c r="I10" s="493"/>
    </row>
    <row r="11" spans="1:9" s="95" customFormat="1" ht="27.6" hidden="1">
      <c r="A11" s="499"/>
      <c r="B11" s="495" t="s">
        <v>553</v>
      </c>
      <c r="C11" s="1970"/>
      <c r="D11" s="1950"/>
      <c r="E11" s="87"/>
      <c r="I11" s="493"/>
    </row>
    <row r="12" spans="1:9" s="95" customFormat="1" ht="17.25" hidden="1" customHeight="1">
      <c r="A12" s="499" t="s">
        <v>39</v>
      </c>
      <c r="B12" s="85" t="s">
        <v>552</v>
      </c>
      <c r="C12" s="1970"/>
      <c r="D12" s="1950"/>
      <c r="E12" s="87"/>
      <c r="I12" s="493"/>
    </row>
    <row r="13" spans="1:9" s="95" customFormat="1" ht="17.25" hidden="1" customHeight="1">
      <c r="A13" s="499" t="s">
        <v>40</v>
      </c>
      <c r="B13" s="85" t="s">
        <v>554</v>
      </c>
      <c r="C13" s="1970"/>
      <c r="D13" s="1950"/>
      <c r="E13" s="87"/>
      <c r="I13" s="493"/>
    </row>
    <row r="14" spans="1:9" s="95" customFormat="1" ht="17.25" hidden="1" customHeight="1">
      <c r="A14" s="499" t="s">
        <v>575</v>
      </c>
      <c r="B14" s="85" t="s">
        <v>555</v>
      </c>
      <c r="C14" s="1970"/>
      <c r="D14" s="1950"/>
      <c r="E14" s="87"/>
      <c r="I14" s="493"/>
    </row>
    <row r="15" spans="1:9" s="95" customFormat="1" ht="17.25" hidden="1" customHeight="1">
      <c r="A15" s="499" t="s">
        <v>576</v>
      </c>
      <c r="B15" s="85" t="s">
        <v>556</v>
      </c>
      <c r="C15" s="1970"/>
      <c r="D15" s="1950"/>
      <c r="E15" s="87"/>
      <c r="I15" s="493"/>
    </row>
    <row r="16" spans="1:9" s="95" customFormat="1" ht="17.25" hidden="1" customHeight="1">
      <c r="A16" s="499" t="s">
        <v>577</v>
      </c>
      <c r="B16" s="85" t="s">
        <v>557</v>
      </c>
      <c r="C16" s="1970"/>
      <c r="D16" s="1950"/>
      <c r="E16" s="87"/>
      <c r="I16" s="493"/>
    </row>
    <row r="17" spans="1:9" s="95" customFormat="1" ht="17.25" hidden="1" customHeight="1">
      <c r="A17" s="499" t="s">
        <v>578</v>
      </c>
      <c r="B17" s="85" t="s">
        <v>558</v>
      </c>
      <c r="C17" s="1970"/>
      <c r="D17" s="1950"/>
      <c r="E17" s="87"/>
      <c r="I17" s="493"/>
    </row>
    <row r="18" spans="1:9" s="95" customFormat="1" ht="17.25" hidden="1" customHeight="1">
      <c r="A18" s="501" t="s">
        <v>228</v>
      </c>
      <c r="B18" s="502" t="s">
        <v>559</v>
      </c>
      <c r="C18" s="1970"/>
      <c r="D18" s="1950"/>
      <c r="E18" s="506">
        <f>SUM(E20:E22)</f>
        <v>0</v>
      </c>
      <c r="I18" s="493"/>
    </row>
    <row r="19" spans="1:9" s="95" customFormat="1" ht="27.6" hidden="1">
      <c r="A19" s="503"/>
      <c r="B19" s="504" t="s">
        <v>553</v>
      </c>
      <c r="C19" s="1970"/>
      <c r="D19" s="1950"/>
      <c r="E19" s="507"/>
      <c r="I19" s="493"/>
    </row>
    <row r="20" spans="1:9" s="95" customFormat="1" ht="17.25" hidden="1" customHeight="1">
      <c r="A20" s="503" t="s">
        <v>579</v>
      </c>
      <c r="B20" s="505" t="s">
        <v>560</v>
      </c>
      <c r="C20" s="1970"/>
      <c r="D20" s="1950"/>
      <c r="E20" s="507"/>
      <c r="I20" s="493"/>
    </row>
    <row r="21" spans="1:9" s="95" customFormat="1" ht="17.25" hidden="1" customHeight="1">
      <c r="A21" s="503" t="s">
        <v>580</v>
      </c>
      <c r="B21" s="505" t="s">
        <v>561</v>
      </c>
      <c r="C21" s="1970"/>
      <c r="D21" s="1950"/>
      <c r="E21" s="507"/>
      <c r="I21" s="493"/>
    </row>
    <row r="22" spans="1:9" s="95" customFormat="1" ht="17.25" hidden="1" customHeight="1">
      <c r="A22" s="503" t="s">
        <v>581</v>
      </c>
      <c r="B22" s="505" t="s">
        <v>562</v>
      </c>
      <c r="C22" s="1971"/>
      <c r="D22" s="1950"/>
      <c r="E22" s="507"/>
      <c r="I22" s="493"/>
    </row>
    <row r="23" spans="1:9" s="95" customFormat="1" ht="17.25" hidden="1" customHeight="1">
      <c r="A23" s="497" t="s">
        <v>22</v>
      </c>
      <c r="B23" s="85" t="s">
        <v>572</v>
      </c>
      <c r="C23" s="1969" t="s">
        <v>567</v>
      </c>
      <c r="D23" s="1950"/>
      <c r="E23" s="87"/>
      <c r="I23" s="493"/>
    </row>
    <row r="24" spans="1:9" s="95" customFormat="1" ht="31.2">
      <c r="A24" s="497">
        <v>1</v>
      </c>
      <c r="B24" s="85" t="s">
        <v>564</v>
      </c>
      <c r="C24" s="1970"/>
      <c r="D24" s="1950"/>
      <c r="E24" s="87">
        <f>'Работы и услуги 2011г.'!E12*1.06</f>
        <v>7.2080000000000002</v>
      </c>
      <c r="I24" s="493"/>
    </row>
    <row r="25" spans="1:9" s="95" customFormat="1" ht="31.2">
      <c r="A25" s="497">
        <v>2</v>
      </c>
      <c r="B25" s="85" t="s">
        <v>565</v>
      </c>
      <c r="C25" s="1970"/>
      <c r="D25" s="1950"/>
      <c r="E25" s="87">
        <f>'Работы и услуги 2011г.'!E10*1.06</f>
        <v>143.80702000000002</v>
      </c>
      <c r="H25" s="498">
        <f>SUM(E23:E25)+E9</f>
        <v>151.01502000000002</v>
      </c>
      <c r="I25" s="493"/>
    </row>
    <row r="26" spans="1:9" s="95" customFormat="1" ht="34.5" hidden="1" customHeight="1">
      <c r="A26" s="497" t="s">
        <v>25</v>
      </c>
      <c r="B26" s="85" t="s">
        <v>550</v>
      </c>
      <c r="C26" s="1970"/>
      <c r="D26" s="1950"/>
      <c r="E26" s="87"/>
      <c r="I26" s="493">
        <f>(71.4+71+40+30)/1.18</f>
        <v>180.00000000000003</v>
      </c>
    </row>
    <row r="27" spans="1:9" s="97" customFormat="1" ht="28.5" hidden="1" customHeight="1">
      <c r="A27" s="514" t="s">
        <v>26</v>
      </c>
      <c r="B27" s="515" t="s">
        <v>587</v>
      </c>
      <c r="C27" s="1971"/>
      <c r="D27" s="516"/>
      <c r="E27" s="517"/>
      <c r="I27" s="518"/>
    </row>
    <row r="28" spans="1:9" s="78" customFormat="1" ht="46.8">
      <c r="A28" s="85">
        <v>3</v>
      </c>
      <c r="B28" s="85" t="s">
        <v>750</v>
      </c>
      <c r="C28" s="86" t="s">
        <v>172</v>
      </c>
      <c r="D28" s="186"/>
      <c r="E28" s="87">
        <f>'Работы и услуги 2011г.'!E13+'Работы и услуги 2011г.'!E14+'Работы и услуги 2011г.'!E15</f>
        <v>123.72883</v>
      </c>
    </row>
    <row r="29" spans="1:9" s="78" customFormat="1" ht="60.6">
      <c r="A29" s="85">
        <v>4</v>
      </c>
      <c r="B29" s="85" t="s">
        <v>751</v>
      </c>
      <c r="C29" s="188" t="s">
        <v>573</v>
      </c>
      <c r="D29" s="186" t="s">
        <v>574</v>
      </c>
      <c r="E29" s="87">
        <f>'Работы и услуги 2011г.'!E11</f>
        <v>30</v>
      </c>
    </row>
    <row r="30" spans="1:9" s="91" customFormat="1" ht="26.25" customHeight="1">
      <c r="A30" s="89"/>
      <c r="B30" s="89" t="s">
        <v>543</v>
      </c>
      <c r="C30" s="89"/>
      <c r="D30" s="89"/>
      <c r="E30" s="90">
        <f>SUM(E23:E29)+E9</f>
        <v>304.74385000000001</v>
      </c>
    </row>
    <row r="31" spans="1:9" s="91" customFormat="1" ht="18" hidden="1" customHeight="1">
      <c r="A31" s="89"/>
      <c r="B31" s="508" t="s">
        <v>584</v>
      </c>
      <c r="C31" s="89"/>
      <c r="D31" s="89"/>
      <c r="E31" s="511">
        <f>E9+E27</f>
        <v>0</v>
      </c>
    </row>
    <row r="32" spans="1:9" ht="16.2">
      <c r="A32" s="82" t="s">
        <v>583</v>
      </c>
      <c r="B32" s="83"/>
      <c r="C32" s="83"/>
      <c r="D32" s="84"/>
      <c r="E32" s="84"/>
    </row>
    <row r="33" spans="1:9" s="95" customFormat="1" ht="55.5" customHeight="1">
      <c r="A33" s="497">
        <v>5</v>
      </c>
      <c r="B33" s="85" t="s">
        <v>568</v>
      </c>
      <c r="C33" s="188" t="s">
        <v>567</v>
      </c>
      <c r="D33" s="186"/>
      <c r="E33" s="87">
        <f>8+4.5+7.5+12</f>
        <v>32</v>
      </c>
      <c r="I33" s="493"/>
    </row>
    <row r="34" spans="1:9" s="95" customFormat="1">
      <c r="A34" s="497">
        <v>6</v>
      </c>
      <c r="B34" s="85" t="s">
        <v>566</v>
      </c>
      <c r="C34" s="188"/>
      <c r="D34" s="186"/>
      <c r="E34" s="1042">
        <f>ROUND((50.2958970767035),1)</f>
        <v>50.3</v>
      </c>
      <c r="H34" s="1037">
        <v>50.295897076703497</v>
      </c>
      <c r="I34" s="493"/>
    </row>
    <row r="35" spans="1:9" s="95" customFormat="1" ht="46.8" hidden="1">
      <c r="A35" s="497">
        <v>7</v>
      </c>
      <c r="B35" s="85" t="s">
        <v>569</v>
      </c>
      <c r="C35" s="188"/>
      <c r="D35" s="186"/>
      <c r="E35" s="87"/>
      <c r="I35" s="493"/>
    </row>
    <row r="36" spans="1:9" s="95" customFormat="1" hidden="1">
      <c r="A36" s="497">
        <v>8</v>
      </c>
      <c r="B36" s="85" t="s">
        <v>570</v>
      </c>
      <c r="C36" s="188"/>
      <c r="D36" s="186"/>
      <c r="E36" s="87"/>
      <c r="G36" s="498">
        <f>SUM(E33:E37)</f>
        <v>82.3</v>
      </c>
      <c r="I36" s="493"/>
    </row>
    <row r="37" spans="1:9" s="95" customFormat="1" ht="31.2" hidden="1">
      <c r="A37" s="497">
        <v>9</v>
      </c>
      <c r="B37" s="85" t="s">
        <v>571</v>
      </c>
      <c r="C37" s="188"/>
      <c r="D37" s="186"/>
      <c r="E37" s="87"/>
      <c r="I37" s="493"/>
    </row>
    <row r="38" spans="1:9" s="78" customFormat="1" ht="32.25" customHeight="1">
      <c r="A38" s="85">
        <v>7</v>
      </c>
      <c r="B38" s="85" t="s">
        <v>602</v>
      </c>
      <c r="C38" s="86" t="s">
        <v>539</v>
      </c>
      <c r="D38" s="186" t="s">
        <v>809</v>
      </c>
      <c r="E38" s="87">
        <f>'Реестр всп.мат.2010 пром.+ПСХ'!E94</f>
        <v>763.3718876144618</v>
      </c>
      <c r="H38" s="78">
        <f>710.2-'Реестр всп.мат.2010 пром.+ПСХ'!C89</f>
        <v>617.03221530883479</v>
      </c>
    </row>
    <row r="39" spans="1:9" s="91" customFormat="1" ht="26.25" customHeight="1">
      <c r="A39" s="89"/>
      <c r="B39" s="89" t="s">
        <v>544</v>
      </c>
      <c r="C39" s="89"/>
      <c r="D39" s="89"/>
      <c r="E39" s="90">
        <f>SUM(E33:E38)</f>
        <v>845.67188761446175</v>
      </c>
    </row>
    <row r="40" spans="1:9" s="91" customFormat="1" ht="26.25" customHeight="1">
      <c r="A40" s="89"/>
      <c r="B40" s="89" t="s">
        <v>186</v>
      </c>
      <c r="C40" s="89"/>
      <c r="D40" s="89"/>
      <c r="E40" s="90">
        <f>E30+E39</f>
        <v>1150.4157376144617</v>
      </c>
      <c r="G40" s="519">
        <f>1115-90+E38</f>
        <v>1788.3718876144617</v>
      </c>
      <c r="H40" s="91">
        <v>1087.2641990986945</v>
      </c>
      <c r="I40" s="747">
        <v>1180.5156346911654</v>
      </c>
    </row>
    <row r="41" spans="1:9" s="78" customFormat="1" ht="11.25" customHeight="1">
      <c r="A41" s="88"/>
      <c r="B41" s="88"/>
      <c r="C41" s="88"/>
      <c r="D41" s="88"/>
      <c r="E41" s="88"/>
      <c r="I41" s="1043">
        <f>E40-H40</f>
        <v>63.151538515767243</v>
      </c>
    </row>
    <row r="42" spans="1:9" ht="16.2" hidden="1">
      <c r="D42" s="512" t="s">
        <v>749</v>
      </c>
      <c r="I42" s="491">
        <f>'Реестр всп.мат.2010 пром.+ПСХ'!J77*1.07</f>
        <v>821.27141502824884</v>
      </c>
    </row>
    <row r="43" spans="1:9" s="92" customFormat="1" hidden="1">
      <c r="B43" s="93" t="s">
        <v>748</v>
      </c>
      <c r="D43" s="513">
        <f>'Реестр всп.мат.2010 пром.+ПСХ'!F87*1.079*1.06</f>
        <v>100.52803968176734</v>
      </c>
      <c r="E43" s="91"/>
    </row>
    <row r="44" spans="1:9" s="47" customFormat="1" ht="22.5" customHeight="1">
      <c r="A44" s="47" t="s">
        <v>201</v>
      </c>
      <c r="C44" s="94"/>
      <c r="D44" s="94"/>
      <c r="E44" s="94"/>
    </row>
    <row r="45" spans="1:9" s="47" customFormat="1" ht="22.5" customHeight="1">
      <c r="A45" s="47" t="s">
        <v>808</v>
      </c>
      <c r="C45" s="94"/>
      <c r="D45" s="94"/>
      <c r="E45" s="94"/>
    </row>
    <row r="46" spans="1:9" s="47" customFormat="1" ht="22.5" customHeight="1">
      <c r="A46" s="47" t="s">
        <v>992</v>
      </c>
      <c r="C46" s="94"/>
      <c r="D46" s="94"/>
      <c r="E46" s="94"/>
    </row>
    <row r="47" spans="1:9" s="47" customFormat="1" ht="22.5" customHeight="1">
      <c r="C47" s="94"/>
      <c r="D47" s="94"/>
      <c r="E47" s="94"/>
    </row>
    <row r="48" spans="1:9">
      <c r="C48" s="34"/>
      <c r="D48" s="34"/>
      <c r="E48" s="34"/>
    </row>
    <row r="63" spans="1:2">
      <c r="A63" s="43" t="s">
        <v>169</v>
      </c>
      <c r="B63" s="34"/>
    </row>
    <row r="64" spans="1:2">
      <c r="A64" s="43" t="s">
        <v>177</v>
      </c>
    </row>
  </sheetData>
  <mergeCells count="3">
    <mergeCell ref="C9:C22"/>
    <mergeCell ref="C23:C27"/>
    <mergeCell ref="D9:D26"/>
  </mergeCells>
  <printOptions horizontalCentered="1"/>
  <pageMargins left="0.78740157480314965" right="0.78740157480314965" top="0.78740157480314965" bottom="3.937007874015748E-2" header="3.937007874015748E-2" footer="3.937007874015748E-2"/>
  <pageSetup paperSize="9" scale="77" orientation="portrait" r:id="rId1"/>
  <headerFooter alignWithMargins="0"/>
  <colBreaks count="1" manualBreakCount="1">
    <brk id="5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27"/>
  <sheetViews>
    <sheetView zoomScaleNormal="100" workbookViewId="0">
      <selection activeCell="K8" sqref="K8"/>
    </sheetView>
  </sheetViews>
  <sheetFormatPr defaultColWidth="9.109375" defaultRowHeight="13.2"/>
  <cols>
    <col min="1" max="1" width="3.33203125" style="57" customWidth="1"/>
    <col min="2" max="2" width="61.6640625" style="57" customWidth="1"/>
    <col min="3" max="3" width="19.44140625" style="57" customWidth="1"/>
    <col min="4" max="5" width="9.109375" style="57"/>
    <col min="6" max="6" width="10.109375" style="57" customWidth="1"/>
    <col min="7" max="16384" width="9.109375" style="57"/>
  </cols>
  <sheetData>
    <row r="1" spans="1:9" ht="27" customHeight="1">
      <c r="A1" s="453" t="s">
        <v>526</v>
      </c>
      <c r="B1" s="59"/>
      <c r="C1" s="59"/>
    </row>
    <row r="2" spans="1:9" ht="27" customHeight="1">
      <c r="A2" s="453" t="s">
        <v>202</v>
      </c>
      <c r="B2" s="59"/>
      <c r="C2" s="59"/>
    </row>
    <row r="3" spans="1:9" ht="27" customHeight="1">
      <c r="A3" s="453" t="s">
        <v>628</v>
      </c>
      <c r="B3" s="59"/>
      <c r="C3" s="59"/>
    </row>
    <row r="4" spans="1:9" ht="20.25" customHeight="1">
      <c r="A4" s="453"/>
      <c r="B4" s="59"/>
      <c r="C4" s="59"/>
    </row>
    <row r="5" spans="1:9" ht="13.5" customHeight="1">
      <c r="A5" s="60"/>
      <c r="B5" s="60"/>
      <c r="C5" s="454"/>
    </row>
    <row r="6" spans="1:9" s="73" customFormat="1" ht="39" customHeight="1">
      <c r="A6" s="1972" t="s">
        <v>171</v>
      </c>
      <c r="B6" s="1972" t="s">
        <v>185</v>
      </c>
      <c r="C6" s="1975" t="s">
        <v>525</v>
      </c>
    </row>
    <row r="7" spans="1:9" s="73" customFormat="1" ht="13.8">
      <c r="A7" s="1973"/>
      <c r="B7" s="1973"/>
      <c r="C7" s="1976"/>
    </row>
    <row r="8" spans="1:9" s="73" customFormat="1" ht="85.5" customHeight="1">
      <c r="A8" s="1974"/>
      <c r="B8" s="1974"/>
      <c r="C8" s="1977"/>
    </row>
    <row r="9" spans="1:9" s="62" customFormat="1" ht="42">
      <c r="A9" s="708">
        <v>1</v>
      </c>
      <c r="B9" s="75" t="s">
        <v>284</v>
      </c>
      <c r="C9" s="706">
        <f>5*5</f>
        <v>25</v>
      </c>
    </row>
    <row r="10" spans="1:9" s="62" customFormat="1" ht="36" customHeight="1">
      <c r="A10" s="708">
        <v>2</v>
      </c>
      <c r="B10" s="75" t="s">
        <v>191</v>
      </c>
      <c r="C10" s="706">
        <f>5*5</f>
        <v>25</v>
      </c>
    </row>
    <row r="11" spans="1:9" s="62" customFormat="1" ht="31.5" customHeight="1">
      <c r="A11" s="708">
        <v>3</v>
      </c>
      <c r="B11" s="75" t="s">
        <v>190</v>
      </c>
      <c r="C11" s="707">
        <f>2*20</f>
        <v>40</v>
      </c>
    </row>
    <row r="12" spans="1:9" s="62" customFormat="1" ht="35.25" customHeight="1">
      <c r="A12" s="708">
        <v>4</v>
      </c>
      <c r="B12" s="75" t="s">
        <v>281</v>
      </c>
      <c r="C12" s="707">
        <f>2*1+3*5</f>
        <v>17</v>
      </c>
    </row>
    <row r="13" spans="1:9" s="62" customFormat="1" ht="34.5" hidden="1" customHeight="1">
      <c r="A13" s="708">
        <v>5</v>
      </c>
      <c r="B13" s="75"/>
      <c r="C13" s="707"/>
      <c r="I13" s="457"/>
    </row>
    <row r="14" spans="1:9" s="74" customFormat="1" ht="24" customHeight="1">
      <c r="A14" s="709"/>
      <c r="B14" s="710" t="s">
        <v>103</v>
      </c>
      <c r="C14" s="711">
        <f>SUM(C9:C13)</f>
        <v>107</v>
      </c>
      <c r="I14" s="457"/>
    </row>
    <row r="15" spans="1:9" ht="15.6">
      <c r="A15" s="58"/>
      <c r="B15" s="58"/>
      <c r="C15" s="58"/>
      <c r="I15" s="458"/>
    </row>
    <row r="16" spans="1:9" ht="15.6">
      <c r="A16" s="58"/>
      <c r="B16" s="58"/>
      <c r="C16" s="58"/>
      <c r="E16" s="455" t="s">
        <v>527</v>
      </c>
      <c r="F16" s="455"/>
      <c r="G16" s="456" t="s">
        <v>530</v>
      </c>
      <c r="H16" s="456" t="s">
        <v>204</v>
      </c>
    </row>
    <row r="17" spans="1:12" s="62" customFormat="1" ht="13.8">
      <c r="A17" s="61"/>
      <c r="E17" s="455">
        <f>552.6</f>
        <v>552.6</v>
      </c>
      <c r="F17" s="455" t="s">
        <v>528</v>
      </c>
      <c r="G17" s="456">
        <v>320</v>
      </c>
      <c r="H17" s="457"/>
    </row>
    <row r="18" spans="1:12" s="22" customFormat="1" ht="15.6">
      <c r="B18" s="40"/>
      <c r="C18" s="13"/>
      <c r="E18" s="459">
        <f>E17/242</f>
        <v>2.2834710743801652</v>
      </c>
      <c r="F18" s="455" t="s">
        <v>529</v>
      </c>
      <c r="G18" s="460">
        <f>320/227</f>
        <v>1.4096916299559472</v>
      </c>
      <c r="H18" s="461">
        <f>G18/9*12</f>
        <v>1.879588839941263</v>
      </c>
      <c r="L18" s="41"/>
    </row>
    <row r="19" spans="1:12" s="62" customFormat="1" ht="13.8">
      <c r="A19" s="61"/>
    </row>
    <row r="20" spans="1:12" s="623" customFormat="1" ht="23.25" customHeight="1">
      <c r="A20" s="685" t="s">
        <v>632</v>
      </c>
      <c r="B20" s="621"/>
      <c r="C20" s="622"/>
      <c r="G20" s="624"/>
    </row>
    <row r="21" spans="1:12" s="623" customFormat="1" ht="15" customHeight="1">
      <c r="A21" s="685" t="s">
        <v>662</v>
      </c>
      <c r="B21" s="625"/>
      <c r="C21" s="626" t="s">
        <v>634</v>
      </c>
    </row>
    <row r="26" spans="1:12" s="77" customFormat="1" ht="15.6" hidden="1">
      <c r="A26" s="76" t="s">
        <v>192</v>
      </c>
      <c r="C26" s="77" t="s">
        <v>193</v>
      </c>
    </row>
    <row r="27" spans="1:12">
      <c r="A27" s="72"/>
    </row>
  </sheetData>
  <mergeCells count="3">
    <mergeCell ref="A6:A8"/>
    <mergeCell ref="B6:B8"/>
    <mergeCell ref="C6:C8"/>
  </mergeCells>
  <phoneticPr fontId="19" type="noConversion"/>
  <printOptions horizontalCentered="1"/>
  <pageMargins left="0.78740157480314965" right="0.78740157480314965" top="0.98425196850393704" bottom="0.11811023622047245" header="0.51181102362204722" footer="3.937007874015748E-2"/>
  <pageSetup paperSize="9" scale="95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H44"/>
  <sheetViews>
    <sheetView workbookViewId="0">
      <selection activeCell="K8" sqref="K8"/>
    </sheetView>
  </sheetViews>
  <sheetFormatPr defaultColWidth="9.109375" defaultRowHeight="13.2"/>
  <cols>
    <col min="1" max="1" width="5.5546875" style="4" customWidth="1"/>
    <col min="2" max="2" width="42" style="4" customWidth="1"/>
    <col min="3" max="4" width="21.44140625" style="4" customWidth="1"/>
    <col min="5" max="16384" width="9.109375" style="4"/>
  </cols>
  <sheetData>
    <row r="1" spans="1:7">
      <c r="D1" s="5" t="s">
        <v>1</v>
      </c>
    </row>
    <row r="2" spans="1:7">
      <c r="A2" s="2"/>
    </row>
    <row r="3" spans="1:7" ht="15.6">
      <c r="A3" s="49" t="s">
        <v>178</v>
      </c>
      <c r="B3" s="50"/>
      <c r="C3" s="50"/>
      <c r="D3" s="50"/>
    </row>
    <row r="4" spans="1:7" ht="18" customHeight="1">
      <c r="A4" s="49" t="s">
        <v>179</v>
      </c>
      <c r="B4" s="49"/>
      <c r="C4" s="49"/>
      <c r="D4" s="49"/>
    </row>
    <row r="5" spans="1:7" ht="18" customHeight="1">
      <c r="A5" s="49" t="s">
        <v>629</v>
      </c>
      <c r="B5" s="49"/>
      <c r="C5" s="49"/>
      <c r="D5" s="49"/>
      <c r="E5" s="38"/>
      <c r="F5" s="38"/>
      <c r="G5" s="38"/>
    </row>
    <row r="6" spans="1:7" ht="42" customHeight="1">
      <c r="A6" s="49"/>
      <c r="B6" s="609"/>
      <c r="C6" s="610"/>
      <c r="D6" s="611"/>
      <c r="E6" s="38"/>
      <c r="F6" s="38"/>
      <c r="G6" s="38"/>
    </row>
    <row r="7" spans="1:7">
      <c r="D7" s="5" t="s">
        <v>0</v>
      </c>
    </row>
    <row r="8" spans="1:7">
      <c r="A8" s="9" t="s">
        <v>2</v>
      </c>
      <c r="B8" s="9" t="s">
        <v>225</v>
      </c>
      <c r="C8" s="9" t="s">
        <v>239</v>
      </c>
      <c r="D8" s="9" t="s">
        <v>237</v>
      </c>
    </row>
    <row r="9" spans="1:7" ht="39.6">
      <c r="A9" s="7" t="s">
        <v>3</v>
      </c>
      <c r="B9" s="52" t="s">
        <v>183</v>
      </c>
      <c r="C9" s="63"/>
      <c r="D9" s="63"/>
    </row>
    <row r="10" spans="1:7" ht="39.6">
      <c r="A10" s="7" t="s">
        <v>22</v>
      </c>
      <c r="B10" s="8" t="s">
        <v>182</v>
      </c>
      <c r="C10" s="63"/>
      <c r="D10" s="63"/>
    </row>
    <row r="11" spans="1:7" ht="19.5" customHeight="1">
      <c r="A11" s="7" t="s">
        <v>23</v>
      </c>
      <c r="B11" s="3" t="s">
        <v>4</v>
      </c>
      <c r="C11" s="63"/>
      <c r="D11" s="63"/>
    </row>
    <row r="12" spans="1:7" ht="27.75" customHeight="1">
      <c r="A12" s="7" t="s">
        <v>24</v>
      </c>
      <c r="B12" s="3" t="s">
        <v>5</v>
      </c>
      <c r="C12" s="63"/>
      <c r="D12" s="63"/>
    </row>
    <row r="13" spans="1:7" ht="27" customHeight="1">
      <c r="A13" s="7" t="s">
        <v>25</v>
      </c>
      <c r="B13" s="3" t="s">
        <v>6</v>
      </c>
      <c r="C13" s="63"/>
      <c r="D13" s="63"/>
      <c r="F13" s="28"/>
      <c r="G13" s="96"/>
    </row>
    <row r="14" spans="1:7" ht="23.25" customHeight="1">
      <c r="A14" s="7" t="s">
        <v>26</v>
      </c>
      <c r="B14" s="3" t="s">
        <v>7</v>
      </c>
      <c r="C14" s="63"/>
      <c r="D14" s="63"/>
    </row>
    <row r="15" spans="1:7" ht="19.5" customHeight="1">
      <c r="A15" s="7" t="s">
        <v>27</v>
      </c>
      <c r="B15" s="3" t="s">
        <v>8</v>
      </c>
      <c r="C15" s="67">
        <f>'Амортизация цех10г. - 11г.'!K7*'Амортизация цех10г. - 11г.'!I13/1000</f>
        <v>0</v>
      </c>
      <c r="D15" s="67">
        <f>C15</f>
        <v>0</v>
      </c>
      <c r="E15" s="30"/>
    </row>
    <row r="16" spans="1:7" ht="27.75" customHeight="1">
      <c r="A16" s="10"/>
    </row>
    <row r="17" spans="1:8" ht="27.75" customHeight="1"/>
    <row r="18" spans="1:8" s="623" customFormat="1" ht="23.25" customHeight="1">
      <c r="A18" s="685" t="s">
        <v>632</v>
      </c>
      <c r="B18" s="621"/>
      <c r="C18" s="622"/>
      <c r="H18" s="624"/>
    </row>
    <row r="19" spans="1:8" s="623" customFormat="1" ht="15" customHeight="1">
      <c r="A19" s="685" t="s">
        <v>662</v>
      </c>
      <c r="B19" s="625"/>
      <c r="C19" s="622"/>
      <c r="D19" s="626" t="s">
        <v>634</v>
      </c>
    </row>
    <row r="20" spans="1:8" s="22" customFormat="1"/>
    <row r="21" spans="1:8" s="22" customFormat="1"/>
    <row r="22" spans="1:8">
      <c r="A22" s="1978"/>
      <c r="B22" s="1979"/>
      <c r="C22" s="1979"/>
      <c r="D22" s="1979"/>
      <c r="E22" s="1979"/>
      <c r="F22" s="1979"/>
      <c r="G22" s="1979"/>
    </row>
    <row r="43" spans="2:2">
      <c r="B43" s="43" t="s">
        <v>169</v>
      </c>
    </row>
    <row r="44" spans="2:2">
      <c r="B44" s="43" t="s">
        <v>177</v>
      </c>
    </row>
  </sheetData>
  <mergeCells count="1">
    <mergeCell ref="A22:G22"/>
  </mergeCells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O25"/>
  <sheetViews>
    <sheetView zoomScaleNormal="100" workbookViewId="0">
      <selection activeCell="K8" sqref="K8"/>
    </sheetView>
  </sheetViews>
  <sheetFormatPr defaultColWidth="9.109375" defaultRowHeight="15.6"/>
  <cols>
    <col min="1" max="1" width="49.5546875" style="97" customWidth="1"/>
    <col min="2" max="2" width="8.109375" style="97" customWidth="1"/>
    <col min="3" max="3" width="7" style="97" customWidth="1"/>
    <col min="4" max="4" width="12.33203125" style="97" customWidth="1"/>
    <col min="5" max="5" width="12.109375" style="97" customWidth="1"/>
    <col min="6" max="6" width="11.5546875" style="97" hidden="1" customWidth="1"/>
    <col min="7" max="7" width="11.5546875" style="97" customWidth="1"/>
    <col min="8" max="8" width="12.33203125" style="97" hidden="1" customWidth="1"/>
    <col min="9" max="9" width="11.44140625" style="97" customWidth="1"/>
    <col min="10" max="10" width="12.109375" style="97" customWidth="1"/>
    <col min="11" max="11" width="11.33203125" style="97" customWidth="1"/>
    <col min="12" max="12" width="12.5546875" style="97" customWidth="1"/>
    <col min="13" max="13" width="8.109375" style="97" hidden="1" customWidth="1"/>
    <col min="14" max="14" width="9.109375" style="97"/>
    <col min="15" max="15" width="10.109375" style="97" customWidth="1"/>
    <col min="16" max="16384" width="9.109375" style="97"/>
  </cols>
  <sheetData>
    <row r="1" spans="1:15" ht="18">
      <c r="A1" s="745" t="s">
        <v>181</v>
      </c>
      <c r="B1" s="745"/>
      <c r="C1" s="745"/>
      <c r="D1" s="745"/>
      <c r="E1" s="745"/>
      <c r="F1" s="745"/>
      <c r="G1" s="745"/>
      <c r="H1" s="745"/>
      <c r="I1" s="745"/>
      <c r="J1" s="745"/>
      <c r="K1" s="745"/>
      <c r="L1" s="745"/>
      <c r="M1" s="746"/>
    </row>
    <row r="2" spans="1:15" ht="18">
      <c r="A2" s="745" t="s">
        <v>596</v>
      </c>
      <c r="B2" s="745"/>
      <c r="C2" s="745"/>
      <c r="D2" s="745"/>
      <c r="E2" s="745"/>
      <c r="F2" s="745"/>
      <c r="G2" s="745"/>
      <c r="H2" s="745"/>
      <c r="I2" s="745"/>
      <c r="J2" s="745"/>
      <c r="K2" s="745"/>
      <c r="L2" s="745"/>
      <c r="M2" s="746"/>
    </row>
    <row r="3" spans="1:15" ht="18">
      <c r="A3" s="745" t="s">
        <v>545</v>
      </c>
      <c r="B3" s="745"/>
      <c r="C3" s="745"/>
      <c r="D3" s="745"/>
      <c r="E3" s="745"/>
      <c r="F3" s="745"/>
      <c r="G3" s="745"/>
      <c r="H3" s="745"/>
      <c r="I3" s="745"/>
      <c r="J3" s="745"/>
      <c r="K3" s="745"/>
      <c r="L3" s="745"/>
      <c r="M3" s="746"/>
    </row>
    <row r="4" spans="1:15">
      <c r="H4" s="747" t="s">
        <v>549</v>
      </c>
      <c r="J4" s="748"/>
      <c r="L4" s="748" t="s">
        <v>167</v>
      </c>
      <c r="M4" s="749"/>
    </row>
    <row r="5" spans="1:15" ht="64.5" customHeight="1">
      <c r="A5" s="750" t="s">
        <v>547</v>
      </c>
      <c r="B5" s="751" t="s">
        <v>196</v>
      </c>
      <c r="C5" s="751" t="s">
        <v>546</v>
      </c>
      <c r="D5" s="750" t="s">
        <v>282</v>
      </c>
      <c r="E5" s="750" t="s">
        <v>589</v>
      </c>
      <c r="F5" s="750" t="s">
        <v>548</v>
      </c>
      <c r="G5" s="750" t="s">
        <v>590</v>
      </c>
      <c r="H5" s="750" t="s">
        <v>591</v>
      </c>
      <c r="I5" s="750" t="s">
        <v>592</v>
      </c>
      <c r="J5" s="750" t="s">
        <v>593</v>
      </c>
      <c r="K5" s="750" t="s">
        <v>594</v>
      </c>
      <c r="L5" s="750" t="s">
        <v>595</v>
      </c>
      <c r="M5" s="606" t="s">
        <v>588</v>
      </c>
      <c r="O5" s="752"/>
    </row>
    <row r="6" spans="1:15" ht="25.5" customHeight="1">
      <c r="A6" s="753" t="s">
        <v>599</v>
      </c>
      <c r="B6" s="754">
        <v>100020</v>
      </c>
      <c r="C6" s="755">
        <v>1957</v>
      </c>
      <c r="D6" s="756"/>
      <c r="E6" s="757"/>
      <c r="F6" s="607"/>
      <c r="G6" s="757"/>
      <c r="H6" s="757">
        <f>E6-G6*10</f>
        <v>0</v>
      </c>
      <c r="I6" s="757">
        <f>G6*12</f>
        <v>0</v>
      </c>
      <c r="J6" s="757">
        <f>E6+F6-I6</f>
        <v>0</v>
      </c>
      <c r="K6" s="757">
        <f>I6</f>
        <v>0</v>
      </c>
      <c r="L6" s="757">
        <f>J6-K6</f>
        <v>0</v>
      </c>
      <c r="M6" s="757" t="e">
        <f>K6/D6*100</f>
        <v>#DIV/0!</v>
      </c>
      <c r="O6" s="758"/>
    </row>
    <row r="7" spans="1:15" s="704" customFormat="1" ht="25.5" customHeight="1">
      <c r="A7" s="759" t="s">
        <v>103</v>
      </c>
      <c r="B7" s="760"/>
      <c r="C7" s="761"/>
      <c r="D7" s="762">
        <f>D6</f>
        <v>0</v>
      </c>
      <c r="E7" s="763">
        <f t="shared" ref="E7:M7" si="0">E6</f>
        <v>0</v>
      </c>
      <c r="F7" s="741">
        <f t="shared" si="0"/>
        <v>0</v>
      </c>
      <c r="G7" s="763">
        <f t="shared" si="0"/>
        <v>0</v>
      </c>
      <c r="H7" s="763">
        <f t="shared" si="0"/>
        <v>0</v>
      </c>
      <c r="I7" s="763">
        <f t="shared" si="0"/>
        <v>0</v>
      </c>
      <c r="J7" s="763">
        <f t="shared" si="0"/>
        <v>0</v>
      </c>
      <c r="K7" s="763">
        <f t="shared" si="0"/>
        <v>0</v>
      </c>
      <c r="L7" s="763">
        <f t="shared" si="0"/>
        <v>0</v>
      </c>
      <c r="M7" s="763" t="e">
        <f t="shared" si="0"/>
        <v>#DIV/0!</v>
      </c>
      <c r="O7" s="764"/>
    </row>
    <row r="8" spans="1:15">
      <c r="A8" s="765"/>
      <c r="B8" s="765"/>
      <c r="C8" s="765"/>
      <c r="D8" s="765"/>
      <c r="E8" s="766"/>
      <c r="F8" s="766"/>
      <c r="G8" s="766"/>
      <c r="H8" s="766"/>
      <c r="I8" s="766"/>
      <c r="J8" s="766"/>
      <c r="K8" s="766"/>
      <c r="L8" s="766"/>
      <c r="M8" s="766"/>
    </row>
    <row r="9" spans="1:15" s="773" customFormat="1" ht="22.5" hidden="1" customHeight="1">
      <c r="A9" s="767" t="s">
        <v>597</v>
      </c>
      <c r="B9" s="768"/>
      <c r="C9" s="769"/>
      <c r="D9" s="769"/>
      <c r="E9" s="769"/>
      <c r="F9" s="769"/>
      <c r="G9" s="769"/>
      <c r="H9" s="770"/>
      <c r="I9" s="771"/>
      <c r="J9" s="771"/>
      <c r="K9" s="772"/>
      <c r="L9" s="772"/>
      <c r="M9" s="463"/>
      <c r="N9" s="464"/>
    </row>
    <row r="10" spans="1:15" s="782" customFormat="1" ht="17.25" hidden="1" customHeight="1">
      <c r="A10" s="767" t="s">
        <v>531</v>
      </c>
      <c r="B10" s="774"/>
      <c r="C10" s="775"/>
      <c r="D10" s="775"/>
      <c r="E10" s="775"/>
      <c r="F10" s="775"/>
      <c r="G10" s="775"/>
      <c r="H10" s="776"/>
      <c r="I10" s="777"/>
      <c r="J10" s="778"/>
      <c r="K10" s="779"/>
      <c r="L10" s="780"/>
      <c r="M10" s="779"/>
      <c r="N10" s="781"/>
    </row>
    <row r="11" spans="1:15" s="781" customFormat="1" ht="21" hidden="1" customHeight="1">
      <c r="A11" s="783" t="s">
        <v>532</v>
      </c>
      <c r="B11" s="784"/>
      <c r="C11" s="775"/>
      <c r="D11" s="785"/>
      <c r="F11" s="786"/>
      <c r="G11" s="787"/>
      <c r="H11" s="780"/>
      <c r="I11" s="779"/>
    </row>
    <row r="12" spans="1:15" s="781" customFormat="1" ht="21" hidden="1" customHeight="1">
      <c r="A12" s="783" t="s">
        <v>533</v>
      </c>
      <c r="B12" s="784"/>
      <c r="C12" s="775"/>
      <c r="D12" s="785"/>
      <c r="E12" s="786"/>
      <c r="F12" s="788"/>
      <c r="H12" s="780"/>
      <c r="I12" s="779"/>
      <c r="K12" s="789"/>
      <c r="L12" s="790"/>
    </row>
    <row r="13" spans="1:15" s="781" customFormat="1" ht="21" hidden="1" customHeight="1">
      <c r="B13" s="784"/>
      <c r="C13" s="775"/>
      <c r="E13" s="791"/>
      <c r="G13" s="792" t="s">
        <v>598</v>
      </c>
      <c r="I13" s="793">
        <f>30070/98604.6</f>
        <v>0.30495534691079318</v>
      </c>
    </row>
    <row r="14" spans="1:15" hidden="1">
      <c r="A14" s="97" t="s">
        <v>600</v>
      </c>
      <c r="L14" s="703">
        <f>K7/1000*I13</f>
        <v>0</v>
      </c>
      <c r="M14" s="704"/>
      <c r="N14" s="704" t="s">
        <v>29</v>
      </c>
      <c r="O14" s="704"/>
    </row>
    <row r="15" spans="1:15" hidden="1">
      <c r="A15" s="97" t="s">
        <v>601</v>
      </c>
    </row>
    <row r="17" spans="1:10">
      <c r="A17" s="608" t="s">
        <v>169</v>
      </c>
      <c r="B17" s="608"/>
      <c r="C17" s="608"/>
    </row>
    <row r="18" spans="1:10">
      <c r="A18" s="608" t="s">
        <v>177</v>
      </c>
      <c r="B18" s="608"/>
      <c r="C18" s="608"/>
    </row>
    <row r="21" spans="1:10">
      <c r="J21" s="794"/>
    </row>
    <row r="24" spans="1:10">
      <c r="C24" s="97" t="s">
        <v>197</v>
      </c>
      <c r="H24" s="795"/>
    </row>
    <row r="25" spans="1:10">
      <c r="H25" s="796"/>
    </row>
  </sheetData>
  <printOptions horizontalCentered="1"/>
  <pageMargins left="0.19685039370078741" right="0.19685039370078741" top="0.98425196850393704" bottom="0.11811023622047245" header="0.51181102362204722" footer="3.937007874015748E-2"/>
  <pageSetup paperSize="9" scale="87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CCCCFF"/>
  </sheetPr>
  <dimension ref="A1:H46"/>
  <sheetViews>
    <sheetView topLeftCell="A4" workbookViewId="0">
      <selection activeCell="K8" sqref="K8"/>
    </sheetView>
  </sheetViews>
  <sheetFormatPr defaultColWidth="9.109375" defaultRowHeight="13.2"/>
  <cols>
    <col min="1" max="1" width="5.5546875" style="98" customWidth="1"/>
    <col min="2" max="2" width="38.5546875" style="98" customWidth="1"/>
    <col min="3" max="3" width="22.33203125" style="98" customWidth="1"/>
    <col min="4" max="4" width="21.5546875" style="98" customWidth="1"/>
    <col min="5" max="16384" width="9.109375" style="4"/>
  </cols>
  <sheetData>
    <row r="1" spans="1:7">
      <c r="D1" s="172" t="s">
        <v>1</v>
      </c>
    </row>
    <row r="2" spans="1:7">
      <c r="A2" s="522"/>
    </row>
    <row r="3" spans="1:7" ht="15.6">
      <c r="A3" s="174" t="s">
        <v>178</v>
      </c>
      <c r="B3" s="184"/>
      <c r="C3" s="184"/>
      <c r="D3" s="184"/>
    </row>
    <row r="4" spans="1:7" ht="18" customHeight="1">
      <c r="A4" s="174" t="s">
        <v>179</v>
      </c>
      <c r="B4" s="174"/>
      <c r="C4" s="174"/>
      <c r="D4" s="174"/>
    </row>
    <row r="5" spans="1:7" ht="18" customHeight="1">
      <c r="A5" s="174" t="s">
        <v>630</v>
      </c>
      <c r="B5" s="174"/>
      <c r="C5" s="174"/>
      <c r="D5" s="174"/>
      <c r="E5" s="38"/>
      <c r="F5" s="38"/>
      <c r="G5" s="38"/>
    </row>
    <row r="6" spans="1:7" ht="18" customHeight="1">
      <c r="A6" s="174"/>
      <c r="B6" s="174"/>
      <c r="C6" s="174"/>
      <c r="D6" s="612"/>
      <c r="E6" s="38"/>
      <c r="F6" s="38"/>
      <c r="G6" s="38"/>
    </row>
    <row r="7" spans="1:7">
      <c r="D7" s="172" t="s">
        <v>0</v>
      </c>
    </row>
    <row r="8" spans="1:7">
      <c r="A8" s="175" t="s">
        <v>2</v>
      </c>
      <c r="B8" s="175" t="s">
        <v>225</v>
      </c>
      <c r="C8" s="175" t="s">
        <v>239</v>
      </c>
      <c r="D8" s="175" t="s">
        <v>237</v>
      </c>
    </row>
    <row r="9" spans="1:7" ht="39.6">
      <c r="A9" s="523" t="s">
        <v>3</v>
      </c>
      <c r="B9" s="524" t="s">
        <v>183</v>
      </c>
      <c r="C9" s="63"/>
      <c r="D9" s="63"/>
    </row>
    <row r="10" spans="1:7" ht="39.6">
      <c r="A10" s="523" t="s">
        <v>22</v>
      </c>
      <c r="B10" s="525" t="s">
        <v>182</v>
      </c>
      <c r="C10" s="63"/>
      <c r="D10" s="63"/>
    </row>
    <row r="11" spans="1:7" ht="19.5" customHeight="1">
      <c r="A11" s="523" t="s">
        <v>23</v>
      </c>
      <c r="B11" s="99" t="s">
        <v>4</v>
      </c>
      <c r="C11" s="63"/>
      <c r="D11" s="63"/>
    </row>
    <row r="12" spans="1:7" ht="27.75" customHeight="1">
      <c r="A12" s="523" t="s">
        <v>24</v>
      </c>
      <c r="B12" s="99" t="s">
        <v>5</v>
      </c>
      <c r="C12" s="63"/>
      <c r="D12" s="63"/>
    </row>
    <row r="13" spans="1:7" ht="27" customHeight="1">
      <c r="A13" s="523" t="s">
        <v>25</v>
      </c>
      <c r="B13" s="99" t="s">
        <v>6</v>
      </c>
      <c r="C13" s="63"/>
      <c r="D13" s="63"/>
      <c r="F13" s="28"/>
      <c r="G13" s="96"/>
    </row>
    <row r="14" spans="1:7" ht="13.5" customHeight="1">
      <c r="A14" s="523" t="s">
        <v>26</v>
      </c>
      <c r="B14" s="99" t="s">
        <v>7</v>
      </c>
      <c r="C14" s="63"/>
      <c r="D14" s="63"/>
    </row>
    <row r="15" spans="1:7" ht="16.5" customHeight="1">
      <c r="A15" s="523" t="s">
        <v>27</v>
      </c>
      <c r="B15" s="99" t="s">
        <v>8</v>
      </c>
      <c r="C15" s="68" t="e">
        <f>#REF!</f>
        <v>#REF!</v>
      </c>
      <c r="D15" s="68" t="e">
        <f>#REF!</f>
        <v>#REF!</v>
      </c>
      <c r="E15" s="30"/>
    </row>
    <row r="16" spans="1:7">
      <c r="A16" s="526"/>
    </row>
    <row r="17" spans="1:8">
      <c r="A17" s="526"/>
    </row>
    <row r="18" spans="1:8">
      <c r="A18" s="446"/>
    </row>
    <row r="19" spans="1:8">
      <c r="A19" s="446"/>
      <c r="E19" s="14"/>
    </row>
    <row r="20" spans="1:8">
      <c r="A20" s="446"/>
      <c r="E20" s="14"/>
    </row>
    <row r="22" spans="1:8" s="623" customFormat="1" ht="23.25" customHeight="1">
      <c r="A22" s="685" t="s">
        <v>632</v>
      </c>
      <c r="B22" s="621"/>
      <c r="C22" s="622"/>
      <c r="H22" s="624"/>
    </row>
    <row r="23" spans="1:8" s="623" customFormat="1" ht="15" customHeight="1">
      <c r="A23" s="685" t="s">
        <v>662</v>
      </c>
      <c r="B23" s="625"/>
      <c r="C23" s="622"/>
      <c r="D23" s="626" t="s">
        <v>634</v>
      </c>
    </row>
    <row r="24" spans="1:8" s="22" customFormat="1">
      <c r="A24" s="98"/>
      <c r="B24" s="98"/>
      <c r="C24" s="98"/>
      <c r="D24" s="98"/>
    </row>
    <row r="25" spans="1:8" s="22" customFormat="1">
      <c r="A25" s="98"/>
      <c r="B25" s="98"/>
      <c r="C25" s="98"/>
      <c r="D25" s="98"/>
    </row>
    <row r="26" spans="1:8">
      <c r="A26" s="1978"/>
      <c r="B26" s="1979"/>
      <c r="C26" s="1979"/>
      <c r="D26" s="1979"/>
      <c r="E26" s="1979"/>
      <c r="F26" s="1979"/>
      <c r="G26" s="1979"/>
    </row>
    <row r="45" spans="2:2">
      <c r="B45" s="51" t="s">
        <v>169</v>
      </c>
    </row>
    <row r="46" spans="2:2">
      <c r="B46" s="51" t="s">
        <v>177</v>
      </c>
    </row>
  </sheetData>
  <mergeCells count="1">
    <mergeCell ref="A26:G2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4"/>
  <sheetViews>
    <sheetView topLeftCell="A85" workbookViewId="0">
      <selection activeCell="K8" sqref="K8"/>
    </sheetView>
  </sheetViews>
  <sheetFormatPr defaultColWidth="9.109375" defaultRowHeight="14.4" outlineLevelRow="1"/>
  <cols>
    <col min="1" max="1" width="9.109375" style="1166"/>
    <col min="2" max="2" width="13.33203125" style="1166" customWidth="1"/>
    <col min="3" max="3" width="8.5546875" style="1167" customWidth="1"/>
    <col min="4" max="4" width="13.33203125" style="1166" customWidth="1"/>
    <col min="5" max="5" width="8.5546875" style="1166" customWidth="1"/>
    <col min="6" max="6" width="13.33203125" style="1166" customWidth="1"/>
    <col min="7" max="7" width="8.5546875" style="1166" customWidth="1"/>
    <col min="8" max="16384" width="9.109375" style="1166"/>
  </cols>
  <sheetData>
    <row r="1" spans="1:17" ht="15.6">
      <c r="A1" s="1243" t="s">
        <v>1084</v>
      </c>
      <c r="B1" s="1243"/>
      <c r="C1" s="1244"/>
      <c r="D1" s="1243"/>
      <c r="E1" s="1243"/>
      <c r="F1" s="1243"/>
      <c r="G1" s="1243"/>
      <c r="I1" s="1166" t="s">
        <v>1117</v>
      </c>
    </row>
    <row r="2" spans="1:17" ht="18.75" customHeight="1">
      <c r="A2" s="1243" t="s">
        <v>1085</v>
      </c>
      <c r="B2" s="1243"/>
      <c r="C2" s="1244"/>
      <c r="D2" s="1243"/>
      <c r="E2" s="1243"/>
      <c r="F2" s="1243"/>
      <c r="G2" s="1243"/>
    </row>
    <row r="3" spans="1:17" ht="52.5" hidden="1" customHeight="1" outlineLevel="1">
      <c r="L3" s="1460" t="s">
        <v>1205</v>
      </c>
    </row>
    <row r="4" spans="1:17" s="1172" customFormat="1" ht="15.6" hidden="1" outlineLevel="1">
      <c r="A4" s="1245" t="s">
        <v>203</v>
      </c>
      <c r="B4" s="1169"/>
      <c r="C4" s="1170"/>
      <c r="D4" s="1169"/>
      <c r="E4" s="1169"/>
      <c r="F4" s="1246"/>
      <c r="G4" s="1169"/>
      <c r="N4" s="1173"/>
      <c r="O4" s="1173"/>
      <c r="P4" s="1173"/>
    </row>
    <row r="5" spans="1:17" s="1172" customFormat="1" ht="15.75" hidden="1" customHeight="1" outlineLevel="1">
      <c r="A5" s="1980" t="s">
        <v>1086</v>
      </c>
      <c r="B5" s="1174" t="s">
        <v>1087</v>
      </c>
      <c r="C5" s="1175"/>
      <c r="D5" s="1176"/>
      <c r="E5" s="1174"/>
      <c r="F5" s="1174" t="s">
        <v>1088</v>
      </c>
      <c r="G5" s="1174"/>
      <c r="H5" s="1980" t="s">
        <v>241</v>
      </c>
      <c r="O5" s="1173"/>
      <c r="P5" s="1173"/>
      <c r="Q5" s="1173"/>
    </row>
    <row r="6" spans="1:17" s="1172" customFormat="1" ht="69" hidden="1" customHeight="1" outlineLevel="1">
      <c r="A6" s="1981"/>
      <c r="B6" s="1177" t="s">
        <v>243</v>
      </c>
      <c r="C6" s="1178" t="s">
        <v>1089</v>
      </c>
      <c r="D6" s="1177" t="s">
        <v>288</v>
      </c>
      <c r="E6" s="1179" t="s">
        <v>1089</v>
      </c>
      <c r="F6" s="1180" t="s">
        <v>245</v>
      </c>
      <c r="G6" s="1179" t="s">
        <v>1089</v>
      </c>
      <c r="H6" s="1982"/>
      <c r="N6" s="1173"/>
    </row>
    <row r="7" spans="1:17" s="1172" customFormat="1" ht="15.6" hidden="1" outlineLevel="1">
      <c r="A7" s="1981"/>
      <c r="B7" s="1181" t="s">
        <v>1090</v>
      </c>
      <c r="C7" s="1182" t="s">
        <v>32</v>
      </c>
      <c r="D7" s="1181" t="s">
        <v>1091</v>
      </c>
      <c r="E7" s="1183" t="s">
        <v>32</v>
      </c>
      <c r="F7" s="1180"/>
      <c r="G7" s="1183" t="s">
        <v>32</v>
      </c>
      <c r="H7" s="1181" t="s">
        <v>353</v>
      </c>
      <c r="O7" s="1173"/>
      <c r="P7" s="1173"/>
      <c r="Q7" s="1173"/>
    </row>
    <row r="8" spans="1:17" s="1173" customFormat="1" ht="15.6" hidden="1" outlineLevel="1">
      <c r="A8" s="1982"/>
      <c r="B8" s="1184" t="s">
        <v>44</v>
      </c>
      <c r="C8" s="1185"/>
      <c r="D8" s="1184" t="s">
        <v>249</v>
      </c>
      <c r="E8" s="1185"/>
      <c r="F8" s="1184" t="s">
        <v>249</v>
      </c>
      <c r="G8" s="1185"/>
      <c r="H8" s="1184" t="s">
        <v>1092</v>
      </c>
    </row>
    <row r="9" spans="1:17" s="1173" customFormat="1" ht="15.6" hidden="1" outlineLevel="1">
      <c r="A9" s="1186" t="s">
        <v>226</v>
      </c>
      <c r="B9" s="1187">
        <v>124404</v>
      </c>
      <c r="C9" s="1185"/>
      <c r="D9" s="1187">
        <v>228.06</v>
      </c>
      <c r="E9" s="1185"/>
      <c r="F9" s="1187">
        <v>433</v>
      </c>
      <c r="G9" s="1185"/>
      <c r="H9" s="1188">
        <f>(B9*12/(F9-D9))</f>
        <v>7284.3173611788816</v>
      </c>
    </row>
    <row r="10" spans="1:17" s="1173" customFormat="1" ht="15.6" hidden="1" outlineLevel="1">
      <c r="A10" s="1186" t="s">
        <v>211</v>
      </c>
      <c r="B10" s="1187">
        <v>166069</v>
      </c>
      <c r="C10" s="1185"/>
      <c r="D10" s="1187">
        <v>749.32</v>
      </c>
      <c r="E10" s="1185"/>
      <c r="F10" s="1187">
        <v>1022.95</v>
      </c>
      <c r="G10" s="1185"/>
      <c r="H10" s="1188">
        <f>(B10*12/(F10-D10))</f>
        <v>7282.9295033439321</v>
      </c>
    </row>
    <row r="11" spans="1:17" s="1173" customFormat="1" ht="15.6" hidden="1" outlineLevel="1">
      <c r="A11" s="1186" t="s">
        <v>253</v>
      </c>
      <c r="B11" s="1187">
        <v>417747</v>
      </c>
      <c r="C11" s="1185"/>
      <c r="D11" s="1187">
        <v>810.58</v>
      </c>
      <c r="E11" s="1185"/>
      <c r="F11" s="1187">
        <v>1498.78</v>
      </c>
      <c r="G11" s="1185"/>
      <c r="H11" s="1188">
        <f>(B11*12/(F11-D11))</f>
        <v>7284.167393199652</v>
      </c>
    </row>
    <row r="12" spans="1:17" s="1173" customFormat="1" ht="15.6" hidden="1" outlineLevel="1">
      <c r="A12" s="1186" t="s">
        <v>215</v>
      </c>
      <c r="B12" s="1187">
        <v>481133</v>
      </c>
      <c r="C12" s="1185"/>
      <c r="D12" s="1187">
        <v>1074.45</v>
      </c>
      <c r="E12" s="1185"/>
      <c r="F12" s="1187">
        <v>1903</v>
      </c>
      <c r="G12" s="1185"/>
      <c r="H12" s="1188">
        <f>(B12*12/(F12-D12))</f>
        <v>6968.3133184478911</v>
      </c>
    </row>
    <row r="13" spans="1:17" s="1173" customFormat="1" ht="21.75" hidden="1" customHeight="1" outlineLevel="1">
      <c r="A13" s="1186" t="s">
        <v>352</v>
      </c>
      <c r="B13" s="1187"/>
      <c r="C13" s="1185"/>
      <c r="D13" s="1187"/>
      <c r="E13" s="1185"/>
      <c r="F13" s="1187"/>
      <c r="G13" s="1185"/>
      <c r="H13" s="1188" t="e">
        <f>(B13*12/(F13-D13))</f>
        <v>#DIV/0!</v>
      </c>
    </row>
    <row r="14" spans="1:17" s="1173" customFormat="1" ht="21.75" hidden="1" customHeight="1" outlineLevel="1">
      <c r="A14" s="1189"/>
      <c r="B14" s="1190"/>
      <c r="C14" s="1191"/>
      <c r="D14" s="1190"/>
      <c r="E14" s="1191"/>
      <c r="F14" s="1190"/>
      <c r="G14" s="1191"/>
      <c r="H14" s="1192"/>
    </row>
    <row r="15" spans="1:17" s="1172" customFormat="1" ht="15.6" hidden="1" outlineLevel="1">
      <c r="A15" s="1245" t="s">
        <v>204</v>
      </c>
      <c r="B15" s="1169"/>
      <c r="C15" s="1170"/>
      <c r="D15" s="1169"/>
      <c r="E15" s="1169"/>
      <c r="F15" s="1246"/>
      <c r="G15" s="1169"/>
      <c r="N15" s="1173"/>
      <c r="O15" s="1173"/>
      <c r="P15" s="1173"/>
    </row>
    <row r="16" spans="1:17" s="1172" customFormat="1" ht="15.75" hidden="1" customHeight="1" outlineLevel="1" collapsed="1">
      <c r="A16" s="1980" t="s">
        <v>1086</v>
      </c>
      <c r="B16" s="1174" t="s">
        <v>1087</v>
      </c>
      <c r="C16" s="1175"/>
      <c r="D16" s="1176"/>
      <c r="E16" s="1174"/>
      <c r="F16" s="1174" t="s">
        <v>1088</v>
      </c>
      <c r="G16" s="1174"/>
      <c r="H16" s="1980" t="s">
        <v>241</v>
      </c>
      <c r="O16" s="1173"/>
      <c r="P16" s="1173"/>
      <c r="Q16" s="1173"/>
    </row>
    <row r="17" spans="1:17" s="1172" customFormat="1" ht="69" hidden="1" customHeight="1" outlineLevel="1">
      <c r="A17" s="1981"/>
      <c r="B17" s="1177" t="s">
        <v>243</v>
      </c>
      <c r="C17" s="1178" t="s">
        <v>1089</v>
      </c>
      <c r="D17" s="1177" t="s">
        <v>288</v>
      </c>
      <c r="E17" s="1179" t="s">
        <v>1089</v>
      </c>
      <c r="F17" s="1180" t="s">
        <v>245</v>
      </c>
      <c r="G17" s="1179" t="s">
        <v>1089</v>
      </c>
      <c r="H17" s="1982"/>
      <c r="N17" s="1173"/>
    </row>
    <row r="18" spans="1:17" s="1172" customFormat="1" ht="15.6" hidden="1" outlineLevel="1">
      <c r="A18" s="1981"/>
      <c r="B18" s="1181" t="s">
        <v>1090</v>
      </c>
      <c r="C18" s="1182" t="s">
        <v>32</v>
      </c>
      <c r="D18" s="1181" t="s">
        <v>1091</v>
      </c>
      <c r="E18" s="1183" t="s">
        <v>32</v>
      </c>
      <c r="F18" s="1180"/>
      <c r="G18" s="1183" t="s">
        <v>32</v>
      </c>
      <c r="H18" s="1181" t="s">
        <v>353</v>
      </c>
      <c r="O18" s="1173"/>
      <c r="P18" s="1173"/>
      <c r="Q18" s="1173"/>
    </row>
    <row r="19" spans="1:17" s="1173" customFormat="1" ht="15.6" hidden="1" outlineLevel="1">
      <c r="A19" s="1982"/>
      <c r="B19" s="1184" t="s">
        <v>44</v>
      </c>
      <c r="C19" s="1185"/>
      <c r="D19" s="1184" t="s">
        <v>249</v>
      </c>
      <c r="E19" s="1185"/>
      <c r="F19" s="1184" t="s">
        <v>249</v>
      </c>
      <c r="G19" s="1185"/>
      <c r="H19" s="1184" t="s">
        <v>1092</v>
      </c>
    </row>
    <row r="20" spans="1:17" s="1173" customFormat="1" ht="15.6" hidden="1" outlineLevel="1">
      <c r="A20" s="1186" t="s">
        <v>226</v>
      </c>
      <c r="B20" s="1187">
        <v>300621.82</v>
      </c>
      <c r="C20" s="1185">
        <f>B20/B9-1</f>
        <v>1.4164964149062733</v>
      </c>
      <c r="D20" s="1187">
        <v>176.8</v>
      </c>
      <c r="E20" s="1185">
        <f>D20/D9-1</f>
        <v>-0.22476541261071648</v>
      </c>
      <c r="F20" s="1187">
        <v>592.41</v>
      </c>
      <c r="G20" s="1185">
        <f>F20/F9-1</f>
        <v>0.36815242494226319</v>
      </c>
      <c r="H20" s="1188">
        <f>(B20*12/(F20-D20))</f>
        <v>8679.9206948822211</v>
      </c>
    </row>
    <row r="21" spans="1:17" s="1173" customFormat="1" ht="15.6" hidden="1" outlineLevel="1">
      <c r="A21" s="1186" t="s">
        <v>211</v>
      </c>
      <c r="B21" s="1187">
        <v>490793.23</v>
      </c>
      <c r="C21" s="1185">
        <f>B21/B10-1</f>
        <v>1.9553572912464094</v>
      </c>
      <c r="D21" s="1187">
        <v>180</v>
      </c>
      <c r="E21" s="1185">
        <f>D21/D10-1</f>
        <v>-0.75978220253029416</v>
      </c>
      <c r="F21" s="1187">
        <v>969.48</v>
      </c>
      <c r="G21" s="1185">
        <f>F21/F10-1</f>
        <v>-5.2270394447431423E-2</v>
      </c>
      <c r="H21" s="1188">
        <f>(B21*12/(F21-D21))</f>
        <v>7459.9974160206712</v>
      </c>
    </row>
    <row r="22" spans="1:17" s="1173" customFormat="1" ht="15.6" hidden="1" outlineLevel="1">
      <c r="A22" s="1186" t="s">
        <v>253</v>
      </c>
      <c r="B22" s="1187">
        <v>680321</v>
      </c>
      <c r="C22" s="1185">
        <f>B22/B11-1</f>
        <v>0.6285479010022812</v>
      </c>
      <c r="D22" s="1187">
        <v>210</v>
      </c>
      <c r="E22" s="1185">
        <f>D22/D11-1</f>
        <v>-0.74092625033926329</v>
      </c>
      <c r="F22" s="1187">
        <v>1441.35</v>
      </c>
      <c r="G22" s="1185">
        <f>F22/F11-1</f>
        <v>-3.8317831836560456E-2</v>
      </c>
      <c r="H22" s="1188">
        <f>(B22*12/(F22-D22))</f>
        <v>6630.0012181751745</v>
      </c>
    </row>
    <row r="23" spans="1:17" s="1173" customFormat="1" ht="15.6" hidden="1" outlineLevel="1">
      <c r="A23" s="1186" t="s">
        <v>215</v>
      </c>
      <c r="B23" s="1187">
        <v>851305.82</v>
      </c>
      <c r="C23" s="1185">
        <f>B23/B12-1</f>
        <v>0.76937732394161262</v>
      </c>
      <c r="D23" s="1187">
        <v>432</v>
      </c>
      <c r="E23" s="1185">
        <f>D23/D12-1</f>
        <v>-0.59793382660896266</v>
      </c>
      <c r="F23" s="1187">
        <v>2296.17</v>
      </c>
      <c r="G23" s="1185">
        <f>F23/F12-1</f>
        <v>0.20660535995796114</v>
      </c>
      <c r="H23" s="1188">
        <f>(B23*12/(F23-D23))</f>
        <v>5480.0097845153605</v>
      </c>
    </row>
    <row r="24" spans="1:17" s="1173" customFormat="1" ht="21.75" hidden="1" customHeight="1" outlineLevel="1">
      <c r="A24" s="1186" t="s">
        <v>352</v>
      </c>
      <c r="B24" s="1187">
        <v>116581.82</v>
      </c>
      <c r="C24" s="1185"/>
      <c r="D24" s="1187">
        <v>162.69999999999999</v>
      </c>
      <c r="E24" s="1185"/>
      <c r="F24" s="1187">
        <v>380.24</v>
      </c>
      <c r="G24" s="1185"/>
      <c r="H24" s="1188">
        <f>(B24*12/(F24-D24))</f>
        <v>6430.9177162820624</v>
      </c>
    </row>
    <row r="25" spans="1:17" s="1173" customFormat="1" ht="21.75" hidden="1" customHeight="1" collapsed="1">
      <c r="A25" s="1189"/>
      <c r="B25" s="1190"/>
      <c r="C25" s="1191"/>
      <c r="D25" s="1190"/>
      <c r="E25" s="1190"/>
      <c r="F25" s="1247" t="s">
        <v>1093</v>
      </c>
      <c r="G25" s="1190"/>
      <c r="H25" s="1192"/>
    </row>
    <row r="26" spans="1:17" s="1172" customFormat="1" ht="15.6" hidden="1">
      <c r="A26" s="1248" t="s">
        <v>510</v>
      </c>
      <c r="B26" s="1195"/>
      <c r="C26" s="1196"/>
      <c r="D26" s="1195"/>
      <c r="E26" s="1195"/>
      <c r="F26" s="1249"/>
      <c r="G26" s="1195"/>
      <c r="H26" s="1198"/>
      <c r="J26" s="1250" t="s">
        <v>1094</v>
      </c>
      <c r="K26" s="1250"/>
      <c r="N26" s="1173"/>
      <c r="O26" s="1173"/>
      <c r="P26" s="1173"/>
    </row>
    <row r="27" spans="1:17" s="1172" customFormat="1" ht="15.75" hidden="1" customHeight="1">
      <c r="A27" s="1986" t="s">
        <v>1086</v>
      </c>
      <c r="B27" s="1200" t="s">
        <v>1087</v>
      </c>
      <c r="C27" s="1201"/>
      <c r="D27" s="1202"/>
      <c r="E27" s="1200"/>
      <c r="F27" s="1200" t="s">
        <v>1088</v>
      </c>
      <c r="G27" s="1200"/>
      <c r="H27" s="1986" t="s">
        <v>241</v>
      </c>
      <c r="O27" s="1173"/>
      <c r="P27" s="1173"/>
      <c r="Q27" s="1173"/>
    </row>
    <row r="28" spans="1:17" s="1172" customFormat="1" ht="69" hidden="1" customHeight="1">
      <c r="A28" s="1950"/>
      <c r="B28" s="1203" t="s">
        <v>243</v>
      </c>
      <c r="C28" s="1204" t="s">
        <v>1089</v>
      </c>
      <c r="D28" s="1203" t="s">
        <v>288</v>
      </c>
      <c r="E28" s="1205" t="s">
        <v>1089</v>
      </c>
      <c r="F28" s="1206" t="s">
        <v>245</v>
      </c>
      <c r="G28" s="1205" t="s">
        <v>1089</v>
      </c>
      <c r="H28" s="1950"/>
      <c r="J28" s="1251" t="s">
        <v>1095</v>
      </c>
      <c r="K28" s="1251"/>
      <c r="L28" s="1251"/>
      <c r="N28" s="1173"/>
    </row>
    <row r="29" spans="1:17" s="1172" customFormat="1" ht="15.6" hidden="1">
      <c r="A29" s="1950"/>
      <c r="B29" s="1208" t="s">
        <v>1090</v>
      </c>
      <c r="C29" s="1209" t="s">
        <v>32</v>
      </c>
      <c r="D29" s="1208" t="s">
        <v>1091</v>
      </c>
      <c r="E29" s="1206" t="s">
        <v>32</v>
      </c>
      <c r="F29" s="1206"/>
      <c r="G29" s="1206" t="s">
        <v>32</v>
      </c>
      <c r="H29" s="1208" t="s">
        <v>1118</v>
      </c>
      <c r="J29" s="1252" t="s">
        <v>1096</v>
      </c>
      <c r="K29" s="1252"/>
      <c r="L29" s="1253" t="s">
        <v>1097</v>
      </c>
      <c r="O29" s="1173"/>
      <c r="P29" s="1173"/>
      <c r="Q29" s="1173"/>
    </row>
    <row r="30" spans="1:17" s="1172" customFormat="1" ht="15.6" hidden="1">
      <c r="A30" s="1950"/>
      <c r="B30" s="1206" t="s">
        <v>44</v>
      </c>
      <c r="C30" s="1209"/>
      <c r="D30" s="1206" t="s">
        <v>249</v>
      </c>
      <c r="E30" s="1206"/>
      <c r="F30" s="1206" t="s">
        <v>249</v>
      </c>
      <c r="G30" s="1206"/>
      <c r="H30" s="1206" t="s">
        <v>1092</v>
      </c>
      <c r="J30" s="1254" t="s">
        <v>1098</v>
      </c>
      <c r="K30" s="1255" t="s">
        <v>1099</v>
      </c>
      <c r="L30" s="1256"/>
      <c r="O30" s="1173"/>
      <c r="P30" s="1173"/>
      <c r="Q30" s="1173"/>
    </row>
    <row r="31" spans="1:17" s="1172" customFormat="1" ht="15.6" hidden="1">
      <c r="A31" s="1203" t="s">
        <v>226</v>
      </c>
      <c r="B31" s="1257">
        <v>364484.63</v>
      </c>
      <c r="C31" s="1216">
        <f>B31/B20-1</f>
        <v>0.2124357107544621</v>
      </c>
      <c r="D31" s="1257">
        <v>151.36000000000001</v>
      </c>
      <c r="E31" s="1216">
        <f>D31/D20-1</f>
        <v>-0.14389140271493206</v>
      </c>
      <c r="F31" s="1257">
        <v>671</v>
      </c>
      <c r="G31" s="1216">
        <f>F31/F20-1</f>
        <v>0.1326615013250958</v>
      </c>
      <c r="H31" s="1217">
        <f>(B31*12/(F31-D31))</f>
        <v>8417.0109306442937</v>
      </c>
      <c r="J31" s="1258">
        <f>B31/B9-1</f>
        <v>1.9298465483424971</v>
      </c>
      <c r="K31" s="1258">
        <f>D31/D9-1</f>
        <v>-0.33631500482329202</v>
      </c>
      <c r="L31" s="1258">
        <f>F31/F9-1</f>
        <v>0.54965357967667439</v>
      </c>
      <c r="N31" s="1258">
        <v>0.21461487820934821</v>
      </c>
      <c r="O31" s="1173"/>
      <c r="P31" s="1173"/>
      <c r="Q31" s="1173"/>
    </row>
    <row r="32" spans="1:17" s="1172" customFormat="1" ht="15.6" hidden="1">
      <c r="A32" s="1203" t="s">
        <v>211</v>
      </c>
      <c r="B32" s="1257">
        <v>684381.17</v>
      </c>
      <c r="C32" s="1216">
        <f>B32/B21-1</f>
        <v>0.3944388963963501</v>
      </c>
      <c r="D32" s="1257">
        <v>162.12</v>
      </c>
      <c r="E32" s="1216">
        <f>D32/D21-1</f>
        <v>-9.9333333333333274E-2</v>
      </c>
      <c r="F32" s="1257">
        <v>1153.6500000000001</v>
      </c>
      <c r="G32" s="1216">
        <f>F32/F21-1</f>
        <v>0.18996781779923255</v>
      </c>
      <c r="H32" s="1217">
        <f>(B32*12/(F32-D32))</f>
        <v>8282.7287525339634</v>
      </c>
      <c r="J32" s="1258">
        <f>B32/B10-1</f>
        <v>3.1210651596625505</v>
      </c>
      <c r="K32" s="1258">
        <f>D32/D10-1</f>
        <v>-0.78364383707895158</v>
      </c>
      <c r="L32" s="1258">
        <f>F32/F10-1</f>
        <v>0.12776773058311752</v>
      </c>
      <c r="N32" s="1258">
        <v>0.24512109584519526</v>
      </c>
      <c r="O32" s="1173"/>
      <c r="P32" s="1173"/>
      <c r="Q32" s="1173"/>
    </row>
    <row r="33" spans="1:17" s="1172" customFormat="1" ht="15.6" hidden="1">
      <c r="A33" s="1203" t="s">
        <v>253</v>
      </c>
      <c r="B33" s="1257">
        <v>942948.34</v>
      </c>
      <c r="C33" s="1216">
        <f>B33/B22-1</f>
        <v>0.38603444550440158</v>
      </c>
      <c r="D33" s="1461"/>
      <c r="E33" s="1185"/>
      <c r="F33" s="1461"/>
      <c r="G33" s="1185"/>
      <c r="H33" s="1462"/>
      <c r="I33" s="1463"/>
      <c r="J33" s="1258">
        <f>B33/B11-1</f>
        <v>1.2572234869430541</v>
      </c>
      <c r="K33" s="1258">
        <f>D33/D11-1</f>
        <v>-1</v>
      </c>
      <c r="L33" s="1258">
        <f>F33/F11-1</f>
        <v>-1</v>
      </c>
      <c r="N33" s="1258">
        <v>0.35747736497034044</v>
      </c>
      <c r="O33" s="1173"/>
      <c r="P33" s="1173"/>
      <c r="Q33" s="1173"/>
    </row>
    <row r="34" spans="1:17" s="1172" customFormat="1" ht="15.6" hidden="1">
      <c r="A34" s="1203" t="s">
        <v>215</v>
      </c>
      <c r="B34" s="1257">
        <v>1640145.12</v>
      </c>
      <c r="C34" s="1216">
        <f>B34/B23-1</f>
        <v>0.92662270299056604</v>
      </c>
      <c r="D34" s="1257">
        <v>472.06</v>
      </c>
      <c r="E34" s="1216">
        <f>D34/D23-1</f>
        <v>9.273148148148147E-2</v>
      </c>
      <c r="F34" s="1257">
        <v>2747.68</v>
      </c>
      <c r="G34" s="1216">
        <f>F34/F23-1</f>
        <v>0.1966361375682113</v>
      </c>
      <c r="H34" s="1217">
        <f>(B34*12/(F34-D34))</f>
        <v>8648.9578400611717</v>
      </c>
      <c r="J34" s="1258">
        <f>B34/B12-1</f>
        <v>2.4089225224626043</v>
      </c>
      <c r="K34" s="1258">
        <f>D34/D12-1</f>
        <v>-0.56064963469682172</v>
      </c>
      <c r="L34" s="1258">
        <f>F34/F12-1</f>
        <v>0.44386757750919581</v>
      </c>
      <c r="N34" s="1258">
        <v>0.32037262049412729</v>
      </c>
      <c r="O34" s="1173"/>
      <c r="P34" s="1173"/>
      <c r="Q34" s="1173"/>
    </row>
    <row r="35" spans="1:17" s="1172" customFormat="1" ht="21.75" hidden="1" customHeight="1">
      <c r="A35" s="1203" t="s">
        <v>352</v>
      </c>
      <c r="B35" s="1257">
        <v>133702.84</v>
      </c>
      <c r="C35" s="1216">
        <f>B35/B24-1</f>
        <v>0.14685840382316884</v>
      </c>
      <c r="D35" s="1257">
        <v>150</v>
      </c>
      <c r="E35" s="1216">
        <f>D35/D24-1</f>
        <v>-7.8057775046097011E-2</v>
      </c>
      <c r="F35" s="1257">
        <v>437.28</v>
      </c>
      <c r="G35" s="1216">
        <f>F35/F24-1</f>
        <v>0.15001051967178625</v>
      </c>
      <c r="H35" s="1217">
        <f>(B35*12/(F35-D35))</f>
        <v>5584.9139515455308</v>
      </c>
      <c r="J35" s="1251"/>
      <c r="K35" s="1251"/>
      <c r="L35" s="1251"/>
      <c r="N35" s="1258">
        <v>-0.3810225120976225</v>
      </c>
      <c r="O35" s="1173"/>
      <c r="P35" s="1173"/>
      <c r="Q35" s="1173"/>
    </row>
    <row r="36" spans="1:17" hidden="1"/>
    <row r="37" spans="1:17" hidden="1">
      <c r="A37" s="1248" t="s">
        <v>631</v>
      </c>
      <c r="B37" s="1195"/>
      <c r="C37" s="1196"/>
      <c r="D37" s="1195"/>
      <c r="E37" s="1195"/>
      <c r="F37" s="1249"/>
      <c r="G37" s="1195"/>
      <c r="H37" s="1464"/>
    </row>
    <row r="38" spans="1:17" ht="18.75" hidden="1" customHeight="1">
      <c r="A38" s="1986" t="s">
        <v>1086</v>
      </c>
      <c r="B38" s="1200" t="s">
        <v>1087</v>
      </c>
      <c r="C38" s="1201"/>
      <c r="D38" s="1200"/>
      <c r="E38" s="1200"/>
      <c r="F38" s="1200" t="s">
        <v>1088</v>
      </c>
      <c r="G38" s="1200"/>
      <c r="H38" s="1986" t="s">
        <v>241</v>
      </c>
    </row>
    <row r="39" spans="1:17" ht="66" hidden="1">
      <c r="A39" s="1950"/>
      <c r="B39" s="1203" t="s">
        <v>243</v>
      </c>
      <c r="C39" s="1204" t="s">
        <v>1089</v>
      </c>
      <c r="D39" s="1203" t="s">
        <v>288</v>
      </c>
      <c r="E39" s="1205" t="s">
        <v>1089</v>
      </c>
      <c r="F39" s="1206" t="s">
        <v>245</v>
      </c>
      <c r="G39" s="1205" t="s">
        <v>1089</v>
      </c>
      <c r="H39" s="1950"/>
    </row>
    <row r="40" spans="1:17" ht="15.6" hidden="1">
      <c r="A40" s="1950"/>
      <c r="B40" s="1208" t="s">
        <v>1090</v>
      </c>
      <c r="C40" s="1209" t="s">
        <v>32</v>
      </c>
      <c r="D40" s="1208" t="s">
        <v>1091</v>
      </c>
      <c r="E40" s="1206" t="s">
        <v>32</v>
      </c>
      <c r="F40" s="1206"/>
      <c r="G40" s="1208"/>
      <c r="H40" s="1208" t="s">
        <v>1118</v>
      </c>
    </row>
    <row r="41" spans="1:17" hidden="1">
      <c r="A41" s="1950"/>
      <c r="B41" s="1206" t="s">
        <v>44</v>
      </c>
      <c r="C41" s="1209"/>
      <c r="D41" s="1206" t="s">
        <v>249</v>
      </c>
      <c r="E41" s="1206"/>
      <c r="F41" s="1206" t="s">
        <v>249</v>
      </c>
      <c r="G41" s="1206" t="s">
        <v>32</v>
      </c>
      <c r="H41" s="1206" t="s">
        <v>1092</v>
      </c>
    </row>
    <row r="42" spans="1:17" hidden="1">
      <c r="A42" s="1203" t="s">
        <v>226</v>
      </c>
      <c r="B42" s="1465">
        <v>427956.36</v>
      </c>
      <c r="C42" s="1216">
        <f>B42/B31-1</f>
        <v>0.17414103305261452</v>
      </c>
      <c r="D42" s="1465">
        <v>179.28</v>
      </c>
      <c r="E42" s="1216">
        <f>D42/D31-1</f>
        <v>0.18446088794925997</v>
      </c>
      <c r="F42" s="1465">
        <v>789.41</v>
      </c>
      <c r="G42" s="1216">
        <f>F42/F31-1</f>
        <v>0.17646795827123696</v>
      </c>
      <c r="H42" s="1217">
        <f>(B42*12/(F42-D42))</f>
        <v>8417.0198482290671</v>
      </c>
    </row>
    <row r="43" spans="1:17" hidden="1">
      <c r="A43" s="1203" t="s">
        <v>211</v>
      </c>
      <c r="B43" s="1465">
        <v>781756.21</v>
      </c>
      <c r="C43" s="1216">
        <f>B43/B32-1</f>
        <v>0.14228188072445058</v>
      </c>
      <c r="D43" s="1465">
        <v>191.71</v>
      </c>
      <c r="E43" s="1216">
        <f>D43/D32-1</f>
        <v>0.18251912163829265</v>
      </c>
      <c r="F43" s="1465">
        <v>1324.32</v>
      </c>
      <c r="G43" s="1216">
        <f>F43/F32-1</f>
        <v>0.14793914965544119</v>
      </c>
      <c r="H43" s="1217">
        <f>(B43*12/(F43-D43))</f>
        <v>8282.7050087850184</v>
      </c>
    </row>
    <row r="44" spans="1:17" hidden="1">
      <c r="A44" s="1203" t="s">
        <v>253</v>
      </c>
      <c r="B44" s="1465">
        <v>1110334.72</v>
      </c>
      <c r="C44" s="1216">
        <f>B44/B33-1</f>
        <v>0.17751383919929276</v>
      </c>
      <c r="D44" s="1465">
        <v>469.5</v>
      </c>
      <c r="E44" s="1216" t="e">
        <f>D44/D33-1</f>
        <v>#DIV/0!</v>
      </c>
      <c r="F44" s="1465">
        <v>2146.56</v>
      </c>
      <c r="G44" s="1216" t="e">
        <f>F44/F33-1</f>
        <v>#DIV/0!</v>
      </c>
      <c r="H44" s="1217">
        <f>(B44*12/(F44-D44))</f>
        <v>7944.8658008658012</v>
      </c>
    </row>
    <row r="45" spans="1:17" hidden="1">
      <c r="A45" s="1203" t="s">
        <v>215</v>
      </c>
      <c r="B45" s="1465">
        <v>2019526.48</v>
      </c>
      <c r="C45" s="1216">
        <f>B45/B34-1</f>
        <v>0.23130962947961575</v>
      </c>
      <c r="D45" s="1465">
        <v>535.79999999999995</v>
      </c>
      <c r="E45" s="1216">
        <f>D45/D34-1</f>
        <v>0.13502520865991596</v>
      </c>
      <c r="F45" s="1465">
        <v>3325.91</v>
      </c>
      <c r="G45" s="1216">
        <f>F45/F34-1</f>
        <v>0.21044299190589877</v>
      </c>
      <c r="H45" s="1217">
        <f>(B45*12/(F45-D45))</f>
        <v>8685.7929472314718</v>
      </c>
    </row>
    <row r="46" spans="1:17" ht="27" hidden="1">
      <c r="A46" s="1203" t="s">
        <v>352</v>
      </c>
      <c r="B46" s="1465">
        <v>22308.959999999999</v>
      </c>
      <c r="C46" s="1216">
        <f>B46/B35-1</f>
        <v>-0.83314520469423092</v>
      </c>
      <c r="D46" s="1465">
        <v>210.28899999999999</v>
      </c>
      <c r="E46" s="1216">
        <f>D46/D35-1</f>
        <v>0.40192666666666654</v>
      </c>
      <c r="F46" s="1465">
        <v>258.20999999999998</v>
      </c>
      <c r="G46" s="1216">
        <f>F46/F35-1</f>
        <v>-0.40950878155872672</v>
      </c>
      <c r="H46" s="1217">
        <f>(B46*12/(F46-D46))</f>
        <v>5586.4343398510064</v>
      </c>
    </row>
    <row r="47" spans="1:17" hidden="1"/>
    <row r="48" spans="1:17" s="1172" customFormat="1" ht="15.6" hidden="1">
      <c r="A48" s="1245" t="s">
        <v>1115</v>
      </c>
      <c r="B48" s="1169"/>
      <c r="C48" s="1170"/>
      <c r="D48" s="1169"/>
      <c r="E48" s="1169"/>
      <c r="F48" s="1246"/>
      <c r="G48" s="1169"/>
      <c r="H48" s="1166"/>
      <c r="J48" s="1173"/>
      <c r="K48" s="1173"/>
    </row>
    <row r="49" spans="1:12" s="1172" customFormat="1" ht="15.75" hidden="1" customHeight="1">
      <c r="A49" s="1980" t="s">
        <v>1086</v>
      </c>
      <c r="B49" s="1336" t="s">
        <v>1087</v>
      </c>
      <c r="C49" s="1175"/>
      <c r="D49" s="1174"/>
      <c r="E49" s="1174"/>
      <c r="F49" s="1174" t="s">
        <v>1088</v>
      </c>
      <c r="G49" s="1174"/>
      <c r="H49" s="1980" t="s">
        <v>1146</v>
      </c>
      <c r="J49" s="1173"/>
      <c r="K49" s="1173"/>
      <c r="L49" s="1173"/>
    </row>
    <row r="50" spans="1:12" s="1172" customFormat="1" ht="69" hidden="1" customHeight="1">
      <c r="A50" s="1950"/>
      <c r="B50" s="1177" t="s">
        <v>243</v>
      </c>
      <c r="C50" s="1178" t="s">
        <v>1089</v>
      </c>
      <c r="D50" s="1177" t="s">
        <v>288</v>
      </c>
      <c r="E50" s="1179" t="s">
        <v>1089</v>
      </c>
      <c r="F50" s="1180" t="s">
        <v>245</v>
      </c>
      <c r="G50" s="1179" t="s">
        <v>1089</v>
      </c>
      <c r="H50" s="1982"/>
    </row>
    <row r="51" spans="1:12" s="1172" customFormat="1" ht="15.6" hidden="1">
      <c r="A51" s="1950"/>
      <c r="B51" s="1181" t="s">
        <v>1090</v>
      </c>
      <c r="C51" s="1182" t="s">
        <v>32</v>
      </c>
      <c r="D51" s="1181" t="s">
        <v>1091</v>
      </c>
      <c r="E51" s="1183" t="s">
        <v>32</v>
      </c>
      <c r="F51" s="1180"/>
      <c r="G51" s="1219" t="s">
        <v>32</v>
      </c>
      <c r="H51" s="1259" t="s">
        <v>1118</v>
      </c>
      <c r="J51" s="1173"/>
      <c r="K51" s="1173"/>
      <c r="L51" s="1173"/>
    </row>
    <row r="52" spans="1:12" s="1172" customFormat="1" ht="15.6" hidden="1">
      <c r="A52" s="1950"/>
      <c r="B52" s="1180" t="s">
        <v>44</v>
      </c>
      <c r="C52" s="1182"/>
      <c r="D52" s="1180" t="s">
        <v>249</v>
      </c>
      <c r="E52" s="1183"/>
      <c r="F52" s="1180" t="s">
        <v>249</v>
      </c>
      <c r="G52" s="1183"/>
      <c r="H52" s="1180" t="s">
        <v>1092</v>
      </c>
      <c r="J52" s="1173"/>
      <c r="K52" s="1173"/>
      <c r="L52" s="1173"/>
    </row>
    <row r="53" spans="1:12" s="1172" customFormat="1" ht="15.6" hidden="1">
      <c r="A53" s="1186" t="s">
        <v>226</v>
      </c>
      <c r="B53" s="1187">
        <v>364484.63</v>
      </c>
      <c r="C53" s="1185">
        <f>B53/B31-1</f>
        <v>0</v>
      </c>
      <c r="D53" s="1187">
        <v>151.36000000000001</v>
      </c>
      <c r="E53" s="1185">
        <f>D53/D31-1</f>
        <v>0</v>
      </c>
      <c r="F53" s="1187">
        <v>671</v>
      </c>
      <c r="G53" s="1185">
        <f>F53/F31-1</f>
        <v>0</v>
      </c>
      <c r="H53" s="1188">
        <f>(B53*6/(F53-D53))</f>
        <v>4208.5054653221468</v>
      </c>
      <c r="J53" s="1173"/>
      <c r="K53" s="1173"/>
      <c r="L53" s="1173"/>
    </row>
    <row r="54" spans="1:12" s="1172" customFormat="1" ht="15.6" hidden="1">
      <c r="A54" s="1186" t="s">
        <v>211</v>
      </c>
      <c r="B54" s="1187">
        <v>684381.17</v>
      </c>
      <c r="C54" s="1185">
        <f>B54/B32-1</f>
        <v>0</v>
      </c>
      <c r="D54" s="1187">
        <v>162.12</v>
      </c>
      <c r="E54" s="1185">
        <f>D54/D32-1</f>
        <v>0</v>
      </c>
      <c r="F54" s="1187">
        <v>1153.6500000000001</v>
      </c>
      <c r="G54" s="1185">
        <f>F54/F32-1</f>
        <v>0</v>
      </c>
      <c r="H54" s="1188">
        <f>(B54*6/(F54-D54))</f>
        <v>4141.3643762669817</v>
      </c>
      <c r="J54" s="1173"/>
      <c r="K54" s="1173"/>
      <c r="L54" s="1173"/>
    </row>
    <row r="55" spans="1:12" s="1172" customFormat="1" ht="15.6" hidden="1">
      <c r="A55" s="1186" t="s">
        <v>253</v>
      </c>
      <c r="B55" s="1187">
        <v>942948.34</v>
      </c>
      <c r="C55" s="1185">
        <f>B55/B33-1</f>
        <v>0</v>
      </c>
      <c r="D55" s="1187">
        <v>414.16</v>
      </c>
      <c r="E55" s="1185" t="e">
        <f>D55/D33-1</f>
        <v>#DIV/0!</v>
      </c>
      <c r="F55" s="1187">
        <v>1847.1</v>
      </c>
      <c r="G55" s="1185" t="e">
        <f>F55/F33-1</f>
        <v>#DIV/0!</v>
      </c>
      <c r="H55" s="1188">
        <f>(B55*6/(F55-D55))</f>
        <v>3948.3090987759438</v>
      </c>
      <c r="J55" s="1173"/>
      <c r="K55" s="1173"/>
      <c r="L55" s="1173"/>
    </row>
    <row r="56" spans="1:12" s="1172" customFormat="1" ht="15.6" hidden="1">
      <c r="A56" s="1186" t="s">
        <v>215</v>
      </c>
      <c r="B56" s="1187">
        <v>1640145.12</v>
      </c>
      <c r="C56" s="1185">
        <f>B56/B34-1</f>
        <v>0</v>
      </c>
      <c r="D56" s="1187">
        <v>472.06</v>
      </c>
      <c r="E56" s="1185">
        <f>D56/D34-1</f>
        <v>0</v>
      </c>
      <c r="F56" s="1187">
        <v>2747.68</v>
      </c>
      <c r="G56" s="1185">
        <f>F56/F34-1</f>
        <v>0</v>
      </c>
      <c r="H56" s="1188">
        <f>(B56*6/(F56-D56))</f>
        <v>4324.4789200305859</v>
      </c>
      <c r="J56" s="1173"/>
      <c r="K56" s="1173"/>
      <c r="L56" s="1173"/>
    </row>
    <row r="57" spans="1:12" s="1172" customFormat="1" ht="21.75" hidden="1" customHeight="1">
      <c r="A57" s="1186" t="s">
        <v>352</v>
      </c>
      <c r="B57" s="1187"/>
      <c r="C57" s="1185"/>
      <c r="D57" s="1187"/>
      <c r="E57" s="1185"/>
      <c r="F57" s="1187">
        <v>437.28</v>
      </c>
      <c r="G57" s="1185">
        <f>F57/F35-1</f>
        <v>0</v>
      </c>
      <c r="H57" s="1188"/>
      <c r="J57" s="1173"/>
      <c r="K57" s="1173"/>
      <c r="L57" s="1173"/>
    </row>
    <row r="58" spans="1:12" s="1172" customFormat="1" ht="21.75" customHeight="1">
      <c r="A58" s="1189"/>
      <c r="B58" s="1190"/>
      <c r="C58" s="1260"/>
      <c r="D58" s="1190"/>
      <c r="E58" s="1260"/>
      <c r="F58" s="1190"/>
      <c r="G58" s="1260"/>
      <c r="H58" s="1192"/>
      <c r="J58" s="1173"/>
      <c r="K58" s="1173"/>
      <c r="L58" s="1173"/>
    </row>
    <row r="59" spans="1:12" s="1172" customFormat="1" ht="15.6">
      <c r="A59" s="1245" t="s">
        <v>1119</v>
      </c>
      <c r="B59" s="1169"/>
      <c r="C59" s="1170"/>
      <c r="D59" s="1169"/>
      <c r="E59" s="1169"/>
      <c r="F59" s="1246"/>
      <c r="G59" s="1169"/>
      <c r="H59" s="1166"/>
      <c r="J59" s="1173"/>
      <c r="K59" s="1173"/>
    </row>
    <row r="60" spans="1:12" s="1172" customFormat="1" ht="15.75" customHeight="1">
      <c r="A60" s="1980" t="s">
        <v>1086</v>
      </c>
      <c r="B60" s="1336" t="s">
        <v>1087</v>
      </c>
      <c r="C60" s="1175"/>
      <c r="D60" s="1174"/>
      <c r="E60" s="1174"/>
      <c r="F60" s="1174" t="s">
        <v>1088</v>
      </c>
      <c r="G60" s="1174"/>
      <c r="H60" s="1980" t="s">
        <v>1147</v>
      </c>
      <c r="I60" s="1980" t="s">
        <v>241</v>
      </c>
      <c r="J60" s="1173"/>
      <c r="K60" s="1173"/>
      <c r="L60" s="1173"/>
    </row>
    <row r="61" spans="1:12" s="1172" customFormat="1" ht="69" customHeight="1">
      <c r="A61" s="1950"/>
      <c r="B61" s="1177" t="s">
        <v>243</v>
      </c>
      <c r="C61" s="1178" t="s">
        <v>1089</v>
      </c>
      <c r="D61" s="1177" t="s">
        <v>288</v>
      </c>
      <c r="E61" s="1179" t="s">
        <v>1089</v>
      </c>
      <c r="F61" s="1180" t="s">
        <v>245</v>
      </c>
      <c r="G61" s="1179" t="s">
        <v>1089</v>
      </c>
      <c r="H61" s="1982"/>
      <c r="I61" s="1982"/>
    </row>
    <row r="62" spans="1:12" s="1172" customFormat="1" ht="15.6">
      <c r="A62" s="1950"/>
      <c r="B62" s="1181" t="s">
        <v>1090</v>
      </c>
      <c r="C62" s="1182" t="s">
        <v>32</v>
      </c>
      <c r="D62" s="1181" t="s">
        <v>1091</v>
      </c>
      <c r="E62" s="1183" t="s">
        <v>32</v>
      </c>
      <c r="F62" s="1180"/>
      <c r="G62" s="1219" t="s">
        <v>32</v>
      </c>
      <c r="H62" s="1259" t="s">
        <v>1118</v>
      </c>
      <c r="I62" s="1259" t="s">
        <v>1118</v>
      </c>
      <c r="J62" s="1173"/>
      <c r="K62" s="1173"/>
      <c r="L62" s="1173"/>
    </row>
    <row r="63" spans="1:12" s="1172" customFormat="1" ht="15.6">
      <c r="A63" s="1950"/>
      <c r="B63" s="1180" t="s">
        <v>44</v>
      </c>
      <c r="C63" s="1182"/>
      <c r="D63" s="1180" t="s">
        <v>249</v>
      </c>
      <c r="E63" s="1183"/>
      <c r="F63" s="1180" t="s">
        <v>249</v>
      </c>
      <c r="G63" s="1183"/>
      <c r="H63" s="1180" t="s">
        <v>1092</v>
      </c>
      <c r="I63" s="1180" t="s">
        <v>1092</v>
      </c>
      <c r="J63" s="1173"/>
      <c r="K63" s="1173"/>
      <c r="L63" s="1173"/>
    </row>
    <row r="64" spans="1:12" s="1172" customFormat="1" ht="15.6">
      <c r="A64" s="1186" t="s">
        <v>226</v>
      </c>
      <c r="B64" s="1187">
        <v>397387.35</v>
      </c>
      <c r="C64" s="1185">
        <f>B64/B53-1</f>
        <v>9.0271899805486999E-2</v>
      </c>
      <c r="D64" s="1187">
        <v>158.29</v>
      </c>
      <c r="E64" s="1185">
        <f>D64/D53-1</f>
        <v>4.5784883720930036E-2</v>
      </c>
      <c r="F64" s="1187">
        <v>690.41</v>
      </c>
      <c r="G64" s="1185">
        <f>F64/F53-1</f>
        <v>2.8926974664679639E-2</v>
      </c>
      <c r="H64" s="1188">
        <f>(B64*6/(F64-D64))</f>
        <v>4480.8015109373819</v>
      </c>
      <c r="I64" s="1188">
        <f>H53+H64</f>
        <v>8689.3069762595296</v>
      </c>
      <c r="J64" s="1173"/>
      <c r="K64" s="1173"/>
      <c r="L64" s="1173"/>
    </row>
    <row r="65" spans="1:12" s="1172" customFormat="1" ht="15.6">
      <c r="A65" s="1186" t="s">
        <v>211</v>
      </c>
      <c r="B65" s="1187">
        <v>740597.33</v>
      </c>
      <c r="C65" s="1185">
        <f>B65/B54-1</f>
        <v>8.2141593696974269E-2</v>
      </c>
      <c r="D65" s="1187">
        <v>168.14</v>
      </c>
      <c r="E65" s="1185">
        <f>D65/D54-1</f>
        <v>3.7132987910189819E-2</v>
      </c>
      <c r="F65" s="1187">
        <v>1174.03</v>
      </c>
      <c r="G65" s="1185">
        <f>F65/F54-1</f>
        <v>1.7665669830537745E-2</v>
      </c>
      <c r="H65" s="1188">
        <f>(B65*6/(F65-D65))</f>
        <v>4417.5645249480558</v>
      </c>
      <c r="I65" s="1188">
        <f>H54+H65</f>
        <v>8558.9289012150366</v>
      </c>
      <c r="J65" s="1173"/>
      <c r="K65" s="1173"/>
      <c r="L65" s="1173"/>
    </row>
    <row r="66" spans="1:12" s="1172" customFormat="1" ht="15.6">
      <c r="A66" s="1186" t="s">
        <v>253</v>
      </c>
      <c r="B66" s="1187">
        <v>1021368.45</v>
      </c>
      <c r="C66" s="1185">
        <f>B66/B55-1</f>
        <v>8.3164799887128549E-2</v>
      </c>
      <c r="D66" s="1187">
        <v>432.48</v>
      </c>
      <c r="E66" s="1185">
        <f>D66/D55-1</f>
        <v>4.4234112420320715E-2</v>
      </c>
      <c r="F66" s="1187">
        <v>1817.25</v>
      </c>
      <c r="G66" s="1185">
        <f>F66/F55-1</f>
        <v>-1.6160467760272801E-2</v>
      </c>
      <c r="H66" s="1188">
        <f>(B66*6/(F66-D66))</f>
        <v>4425.4357763383086</v>
      </c>
      <c r="I66" s="1188">
        <f>H55+H66</f>
        <v>8373.7448751142529</v>
      </c>
      <c r="J66" s="1173"/>
      <c r="K66" s="1173"/>
      <c r="L66" s="1173"/>
    </row>
    <row r="67" spans="1:12" s="1172" customFormat="1" ht="15.6">
      <c r="A67" s="1186" t="s">
        <v>215</v>
      </c>
      <c r="B67" s="1187">
        <v>1766107.62</v>
      </c>
      <c r="C67" s="1185">
        <f>B67/B56-1</f>
        <v>7.6799606610419957E-2</v>
      </c>
      <c r="D67" s="1187">
        <v>495.34</v>
      </c>
      <c r="E67" s="1185">
        <f>D67/D56-1</f>
        <v>4.9315764945134122E-2</v>
      </c>
      <c r="F67" s="1187">
        <v>2688.41</v>
      </c>
      <c r="G67" s="1185">
        <f>F67/F56-1</f>
        <v>-2.157092528969895E-2</v>
      </c>
      <c r="H67" s="1188">
        <f>(B67*6/(F67-D67))</f>
        <v>4831.877559767815</v>
      </c>
      <c r="I67" s="1466">
        <f>H56+H67</f>
        <v>9156.3564797984</v>
      </c>
      <c r="J67" s="1173"/>
      <c r="K67" s="1173"/>
      <c r="L67" s="1173"/>
    </row>
    <row r="68" spans="1:12" s="1172" customFormat="1" ht="21.75" customHeight="1">
      <c r="A68" s="1186" t="s">
        <v>352</v>
      </c>
      <c r="B68" s="1187"/>
      <c r="C68" s="1185"/>
      <c r="D68" s="1187"/>
      <c r="E68" s="1185"/>
      <c r="F68" s="1187">
        <v>422.2</v>
      </c>
      <c r="G68" s="1185">
        <f>F68/F57-1</f>
        <v>-3.4485912916209283E-2</v>
      </c>
      <c r="H68" s="1188"/>
      <c r="I68" s="1188"/>
      <c r="J68" s="1173"/>
      <c r="K68" s="1173"/>
      <c r="L68" s="1173"/>
    </row>
    <row r="69" spans="1:12" s="1172" customFormat="1" ht="21.75" customHeight="1">
      <c r="A69" s="1189"/>
      <c r="B69" s="1190"/>
      <c r="C69" s="1260"/>
      <c r="D69" s="1190"/>
      <c r="E69" s="1260"/>
      <c r="F69" s="1190"/>
      <c r="G69" s="1260"/>
      <c r="H69" s="1192"/>
      <c r="J69" s="1173"/>
      <c r="K69" s="1173"/>
      <c r="L69" s="1173"/>
    </row>
    <row r="70" spans="1:12">
      <c r="A70" s="1245" t="s">
        <v>1206</v>
      </c>
      <c r="B70" s="1169"/>
      <c r="C70" s="1170"/>
      <c r="D70" s="1169"/>
      <c r="E70" s="1169"/>
      <c r="F70" s="1246"/>
      <c r="G70" s="1169"/>
    </row>
    <row r="71" spans="1:12" ht="18.75" customHeight="1">
      <c r="A71" s="1980" t="s">
        <v>1086</v>
      </c>
      <c r="B71" s="1174" t="s">
        <v>1087</v>
      </c>
      <c r="C71" s="1175"/>
      <c r="D71" s="1174"/>
      <c r="E71" s="1174"/>
      <c r="F71" s="1174" t="s">
        <v>1088</v>
      </c>
      <c r="G71" s="1174"/>
      <c r="H71" s="1980" t="s">
        <v>1146</v>
      </c>
    </row>
    <row r="72" spans="1:12" ht="66">
      <c r="A72" s="1981"/>
      <c r="B72" s="1177" t="s">
        <v>243</v>
      </c>
      <c r="C72" s="1178" t="s">
        <v>1089</v>
      </c>
      <c r="D72" s="1177" t="s">
        <v>288</v>
      </c>
      <c r="E72" s="1179" t="s">
        <v>1089</v>
      </c>
      <c r="F72" s="1180" t="s">
        <v>245</v>
      </c>
      <c r="G72" s="1179" t="s">
        <v>1089</v>
      </c>
      <c r="H72" s="1982"/>
    </row>
    <row r="73" spans="1:12" ht="15.6">
      <c r="A73" s="1981"/>
      <c r="B73" s="1181" t="s">
        <v>1090</v>
      </c>
      <c r="C73" s="1182" t="s">
        <v>32</v>
      </c>
      <c r="D73" s="1181" t="s">
        <v>1091</v>
      </c>
      <c r="E73" s="1183" t="s">
        <v>32</v>
      </c>
      <c r="F73" s="1180"/>
      <c r="G73" s="1219"/>
      <c r="H73" s="1259" t="s">
        <v>1118</v>
      </c>
    </row>
    <row r="74" spans="1:12">
      <c r="A74" s="1982"/>
      <c r="B74" s="1180" t="s">
        <v>44</v>
      </c>
      <c r="C74" s="1182"/>
      <c r="D74" s="1180" t="s">
        <v>249</v>
      </c>
      <c r="E74" s="1183"/>
      <c r="F74" s="1180" t="s">
        <v>249</v>
      </c>
      <c r="G74" s="1183" t="s">
        <v>32</v>
      </c>
      <c r="H74" s="1180" t="s">
        <v>1092</v>
      </c>
    </row>
    <row r="75" spans="1:12">
      <c r="A75" s="1186" t="s">
        <v>226</v>
      </c>
      <c r="B75" s="1187">
        <v>397387.35</v>
      </c>
      <c r="C75" s="1185">
        <f>B75/B64-1</f>
        <v>0</v>
      </c>
      <c r="D75" s="1187">
        <v>158.29</v>
      </c>
      <c r="E75" s="1185">
        <f>D75/D64-1</f>
        <v>0</v>
      </c>
      <c r="F75" s="1187">
        <v>690.41</v>
      </c>
      <c r="G75" s="1185">
        <f>F75/F64-1</f>
        <v>0</v>
      </c>
      <c r="H75" s="1188">
        <f>(B75*6/(F75-D75))</f>
        <v>4480.8015109373819</v>
      </c>
    </row>
    <row r="76" spans="1:12">
      <c r="A76" s="1186" t="s">
        <v>211</v>
      </c>
      <c r="B76" s="1187">
        <v>740597.33</v>
      </c>
      <c r="C76" s="1185">
        <f>B76/B65-1</f>
        <v>0</v>
      </c>
      <c r="D76" s="1187">
        <v>168.14</v>
      </c>
      <c r="E76" s="1185">
        <f>D76/D65-1</f>
        <v>0</v>
      </c>
      <c r="F76" s="1187">
        <v>1174.03</v>
      </c>
      <c r="G76" s="1185">
        <f>F76/F65-1</f>
        <v>0</v>
      </c>
      <c r="H76" s="1188">
        <f>(B76*6/(F76-D76))</f>
        <v>4417.5645249480558</v>
      </c>
    </row>
    <row r="77" spans="1:12">
      <c r="A77" s="1186" t="s">
        <v>253</v>
      </c>
      <c r="B77" s="1187">
        <v>1021368.45</v>
      </c>
      <c r="C77" s="1185">
        <f>B77/B66-1</f>
        <v>0</v>
      </c>
      <c r="D77" s="1187">
        <v>432.48</v>
      </c>
      <c r="E77" s="1185">
        <f>D77/D66-1</f>
        <v>0</v>
      </c>
      <c r="F77" s="1187">
        <v>1817.25</v>
      </c>
      <c r="G77" s="1185">
        <f>F77/F66-1</f>
        <v>0</v>
      </c>
      <c r="H77" s="1188">
        <f>(B77*6/(F77-D77))</f>
        <v>4425.4357763383086</v>
      </c>
    </row>
    <row r="78" spans="1:12">
      <c r="A78" s="1186" t="s">
        <v>215</v>
      </c>
      <c r="B78" s="1187">
        <v>1766107.62</v>
      </c>
      <c r="C78" s="1185">
        <f>B78/B67-1</f>
        <v>0</v>
      </c>
      <c r="D78" s="1187">
        <v>495.34</v>
      </c>
      <c r="E78" s="1185">
        <f>D78/D67-1</f>
        <v>0</v>
      </c>
      <c r="F78" s="1187">
        <v>2688.41</v>
      </c>
      <c r="G78" s="1185">
        <f>F78/F67-1</f>
        <v>0</v>
      </c>
      <c r="H78" s="1188">
        <f>(B78*6/(F78-D78))</f>
        <v>4831.877559767815</v>
      </c>
    </row>
    <row r="79" spans="1:12" ht="27">
      <c r="A79" s="1186" t="s">
        <v>352</v>
      </c>
      <c r="B79" s="1187"/>
      <c r="C79" s="1185"/>
      <c r="D79" s="1187"/>
      <c r="E79" s="1185"/>
      <c r="F79" s="1187">
        <v>422.2</v>
      </c>
      <c r="G79" s="1185">
        <f>F79/F68-1</f>
        <v>0</v>
      </c>
      <c r="H79" s="1188"/>
    </row>
    <row r="81" spans="1:9">
      <c r="A81" s="1245" t="s">
        <v>1207</v>
      </c>
      <c r="B81" s="1169"/>
      <c r="C81" s="1170"/>
      <c r="D81" s="1169"/>
      <c r="E81" s="1169"/>
      <c r="F81" s="1246"/>
      <c r="G81" s="1169"/>
    </row>
    <row r="82" spans="1:9" ht="18.75" customHeight="1">
      <c r="A82" s="1980" t="s">
        <v>1086</v>
      </c>
      <c r="B82" s="1174" t="s">
        <v>1087</v>
      </c>
      <c r="C82" s="1175"/>
      <c r="D82" s="1174"/>
      <c r="E82" s="1174"/>
      <c r="F82" s="1174" t="s">
        <v>1088</v>
      </c>
      <c r="G82" s="1174"/>
      <c r="H82" s="1980" t="s">
        <v>1147</v>
      </c>
      <c r="I82" s="1980" t="s">
        <v>241</v>
      </c>
    </row>
    <row r="83" spans="1:9" ht="66">
      <c r="A83" s="1981"/>
      <c r="B83" s="1177" t="s">
        <v>243</v>
      </c>
      <c r="C83" s="1178" t="s">
        <v>1089</v>
      </c>
      <c r="D83" s="1177" t="s">
        <v>288</v>
      </c>
      <c r="E83" s="1179" t="s">
        <v>1089</v>
      </c>
      <c r="F83" s="1180" t="s">
        <v>245</v>
      </c>
      <c r="G83" s="1179" t="s">
        <v>1089</v>
      </c>
      <c r="H83" s="1982"/>
      <c r="I83" s="1982"/>
    </row>
    <row r="84" spans="1:9" ht="15.6">
      <c r="A84" s="1981"/>
      <c r="B84" s="1181" t="s">
        <v>1090</v>
      </c>
      <c r="C84" s="1182" t="s">
        <v>32</v>
      </c>
      <c r="D84" s="1181" t="s">
        <v>1091</v>
      </c>
      <c r="E84" s="1183" t="s">
        <v>32</v>
      </c>
      <c r="F84" s="1180"/>
      <c r="G84" s="1219"/>
      <c r="H84" s="1259" t="s">
        <v>1118</v>
      </c>
      <c r="I84" s="1259" t="s">
        <v>1118</v>
      </c>
    </row>
    <row r="85" spans="1:9">
      <c r="A85" s="1982"/>
      <c r="B85" s="1180" t="s">
        <v>44</v>
      </c>
      <c r="C85" s="1182"/>
      <c r="D85" s="1180" t="s">
        <v>249</v>
      </c>
      <c r="E85" s="1183"/>
      <c r="F85" s="1180" t="s">
        <v>249</v>
      </c>
      <c r="G85" s="1183" t="s">
        <v>32</v>
      </c>
      <c r="H85" s="1180" t="s">
        <v>1092</v>
      </c>
      <c r="I85" s="1180" t="s">
        <v>1092</v>
      </c>
    </row>
    <row r="86" spans="1:9">
      <c r="A86" s="1186" t="s">
        <v>226</v>
      </c>
      <c r="B86" s="1187">
        <v>448807.96</v>
      </c>
      <c r="C86" s="1185">
        <f>B86/B75-1</f>
        <v>0.12939669569250256</v>
      </c>
      <c r="D86" s="1187">
        <v>182.92</v>
      </c>
      <c r="E86" s="1185">
        <f>D86/D75-1</f>
        <v>0.15560048013140437</v>
      </c>
      <c r="F86" s="1187">
        <v>779.62</v>
      </c>
      <c r="G86" s="1185">
        <f>F86/F75-1</f>
        <v>0.12921307628800283</v>
      </c>
      <c r="H86" s="1188">
        <f>(B86*6/(F86-D86))</f>
        <v>4512.9005530417298</v>
      </c>
      <c r="I86" s="1188">
        <f>H75+H86</f>
        <v>8993.7020639791117</v>
      </c>
    </row>
    <row r="87" spans="1:9">
      <c r="A87" s="1186" t="s">
        <v>211</v>
      </c>
      <c r="B87" s="1187">
        <v>815684.34</v>
      </c>
      <c r="C87" s="1185">
        <f>B87/B76-1</f>
        <v>0.10138709249734945</v>
      </c>
      <c r="D87" s="1187">
        <v>173.48</v>
      </c>
      <c r="E87" s="1185">
        <f>D87/D76-1</f>
        <v>3.1759248245509797E-2</v>
      </c>
      <c r="F87" s="1187">
        <v>1325.68</v>
      </c>
      <c r="G87" s="1185">
        <f>F87/F76-1</f>
        <v>0.12917046412783328</v>
      </c>
      <c r="H87" s="1188">
        <f>(B87*6/(F87-D87))</f>
        <v>4247.618503731991</v>
      </c>
      <c r="I87" s="1188">
        <f>H76+H87</f>
        <v>8665.1830286800468</v>
      </c>
    </row>
    <row r="88" spans="1:9">
      <c r="A88" s="1186" t="s">
        <v>253</v>
      </c>
      <c r="B88" s="1187">
        <v>1123518.33</v>
      </c>
      <c r="C88" s="1185">
        <f>B88/B77-1</f>
        <v>0.10001276228965184</v>
      </c>
      <c r="D88" s="1187">
        <v>480.74</v>
      </c>
      <c r="E88" s="1185">
        <f>D88/D77-1</f>
        <v>0.11158897521272659</v>
      </c>
      <c r="F88" s="1187">
        <v>2041.19</v>
      </c>
      <c r="G88" s="1185">
        <f>F88/F77-1</f>
        <v>0.12323015545467064</v>
      </c>
      <c r="H88" s="1188">
        <f>(B88*6/(F88-D88))</f>
        <v>4319.9781985965592</v>
      </c>
      <c r="I88" s="1188">
        <f>H77+H88</f>
        <v>8745.4139749348687</v>
      </c>
    </row>
    <row r="89" spans="1:9">
      <c r="A89" s="1186" t="s">
        <v>215</v>
      </c>
      <c r="B89" s="1187">
        <v>1832395.98</v>
      </c>
      <c r="C89" s="1185">
        <f>B89/B78-1</f>
        <v>3.7533590393545646E-2</v>
      </c>
      <c r="D89" s="1187">
        <v>509.65</v>
      </c>
      <c r="E89" s="1185">
        <f>D89/D78-1</f>
        <v>2.8889247789397166E-2</v>
      </c>
      <c r="F89" s="1187">
        <v>3019.54</v>
      </c>
      <c r="G89" s="1185">
        <f>F89/F78-1</f>
        <v>0.12316945703966287</v>
      </c>
      <c r="H89" s="1188">
        <f>(B89*6/(F89-D89))</f>
        <v>4380.4214049221282</v>
      </c>
      <c r="I89" s="1466">
        <f>H78+H89</f>
        <v>9212.2989646899441</v>
      </c>
    </row>
    <row r="90" spans="1:9" ht="27">
      <c r="A90" s="1186" t="s">
        <v>352</v>
      </c>
      <c r="B90" s="1187"/>
      <c r="C90" s="1185"/>
      <c r="D90" s="1187"/>
      <c r="E90" s="1185"/>
      <c r="F90" s="1187">
        <v>632.74</v>
      </c>
      <c r="G90" s="1185">
        <f>F90/F79-1</f>
        <v>0.49867361440075797</v>
      </c>
      <c r="H90" s="1188"/>
      <c r="I90" s="1188"/>
    </row>
    <row r="92" spans="1:9" s="1680" customFormat="1" hidden="1">
      <c r="A92" s="1676" t="s">
        <v>1101</v>
      </c>
      <c r="B92" s="1677"/>
      <c r="C92" s="1678"/>
      <c r="D92" s="1677"/>
      <c r="E92" s="1677"/>
      <c r="F92" s="1679"/>
      <c r="G92" s="1677"/>
      <c r="I92" s="1692" t="s">
        <v>1314</v>
      </c>
    </row>
    <row r="93" spans="1:9" s="1680" customFormat="1" ht="18.75" hidden="1" customHeight="1">
      <c r="A93" s="1983" t="s">
        <v>1086</v>
      </c>
      <c r="B93" s="1681" t="s">
        <v>1087</v>
      </c>
      <c r="C93" s="1682"/>
      <c r="D93" s="1681"/>
      <c r="E93" s="1681"/>
      <c r="F93" s="1681" t="s">
        <v>1088</v>
      </c>
      <c r="G93" s="1681"/>
      <c r="H93" s="1983" t="s">
        <v>241</v>
      </c>
    </row>
    <row r="94" spans="1:9" s="1680" customFormat="1" ht="66" hidden="1">
      <c r="A94" s="1984"/>
      <c r="B94" s="1683" t="s">
        <v>243</v>
      </c>
      <c r="C94" s="1684" t="s">
        <v>1089</v>
      </c>
      <c r="D94" s="1683" t="s">
        <v>288</v>
      </c>
      <c r="E94" s="1685" t="s">
        <v>1089</v>
      </c>
      <c r="F94" s="1686" t="s">
        <v>245</v>
      </c>
      <c r="G94" s="1685" t="s">
        <v>1089</v>
      </c>
      <c r="H94" s="1985"/>
    </row>
    <row r="95" spans="1:9" s="1680" customFormat="1" ht="15.6" hidden="1">
      <c r="A95" s="1984"/>
      <c r="B95" s="1687" t="s">
        <v>1090</v>
      </c>
      <c r="C95" s="1688" t="s">
        <v>32</v>
      </c>
      <c r="D95" s="1687" t="s">
        <v>1091</v>
      </c>
      <c r="E95" s="1686" t="s">
        <v>32</v>
      </c>
      <c r="F95" s="1686"/>
      <c r="G95" s="1687"/>
      <c r="H95" s="1687" t="s">
        <v>1118</v>
      </c>
    </row>
    <row r="96" spans="1:9" s="1680" customFormat="1" hidden="1">
      <c r="A96" s="1985"/>
      <c r="B96" s="1686" t="s">
        <v>44</v>
      </c>
      <c r="C96" s="1688"/>
      <c r="D96" s="1686" t="s">
        <v>249</v>
      </c>
      <c r="E96" s="1686"/>
      <c r="F96" s="1686" t="s">
        <v>249</v>
      </c>
      <c r="G96" s="1686" t="s">
        <v>32</v>
      </c>
      <c r="H96" s="1686" t="s">
        <v>1092</v>
      </c>
    </row>
    <row r="97" spans="1:9" s="1680" customFormat="1" hidden="1">
      <c r="A97" s="1683" t="s">
        <v>226</v>
      </c>
      <c r="B97" s="1689">
        <v>556235.52000000002</v>
      </c>
      <c r="C97" s="1690">
        <f>B97/B86-1</f>
        <v>0.23936197566549389</v>
      </c>
      <c r="D97" s="1689">
        <v>233.02</v>
      </c>
      <c r="E97" s="1690">
        <f>D97/D75-1</f>
        <v>0.47210815591635624</v>
      </c>
      <c r="F97" s="1689">
        <v>1026.03</v>
      </c>
      <c r="G97" s="1690">
        <f>F97/F75-1</f>
        <v>0.48611694500369351</v>
      </c>
      <c r="H97" s="1691">
        <f>(B97*12/(F97-D97))</f>
        <v>8417.0770103781797</v>
      </c>
    </row>
    <row r="98" spans="1:9" s="1680" customFormat="1" hidden="1">
      <c r="A98" s="1683" t="s">
        <v>211</v>
      </c>
      <c r="B98" s="1689">
        <v>1016086.23</v>
      </c>
      <c r="C98" s="1690">
        <f>B98/B76-1</f>
        <v>0.37198203239539085</v>
      </c>
      <c r="D98" s="1689">
        <v>249.17</v>
      </c>
      <c r="E98" s="1690">
        <f>D98/D76-1</f>
        <v>0.48191982871416683</v>
      </c>
      <c r="F98" s="1689">
        <v>1721.28</v>
      </c>
      <c r="G98" s="1690">
        <f>F98/F76-1</f>
        <v>0.46612948561791434</v>
      </c>
      <c r="H98" s="1691">
        <f>(B98*12/(F98-D98))</f>
        <v>8282.69270638743</v>
      </c>
    </row>
    <row r="99" spans="1:9" s="1680" customFormat="1" hidden="1">
      <c r="A99" s="1683" t="s">
        <v>253</v>
      </c>
      <c r="B99" s="1689">
        <v>1443155.57</v>
      </c>
      <c r="C99" s="1690">
        <f>B99/B77-1</f>
        <v>0.41296274620583806</v>
      </c>
      <c r="D99" s="1689">
        <v>600.1</v>
      </c>
      <c r="E99" s="1690">
        <f>D99/D77-1</f>
        <v>0.38757861635220126</v>
      </c>
      <c r="F99" s="1689">
        <v>2789.99</v>
      </c>
      <c r="G99" s="1690">
        <f>F99/F77-1</f>
        <v>0.53528133168248715</v>
      </c>
      <c r="H99" s="1691">
        <f>(B99*12/(F99-D99))</f>
        <v>7908.0989638748979</v>
      </c>
    </row>
    <row r="100" spans="1:9" s="1680" customFormat="1" hidden="1">
      <c r="A100" s="1683" t="s">
        <v>215</v>
      </c>
      <c r="B100" s="1689">
        <v>2624875.9300000002</v>
      </c>
      <c r="C100" s="1690">
        <f>B100/B78-1</f>
        <v>0.48624913922289736</v>
      </c>
      <c r="D100" s="1689">
        <v>684.4</v>
      </c>
      <c r="E100" s="1690">
        <f>D100/D78-1</f>
        <v>0.3816772318003796</v>
      </c>
      <c r="F100" s="1689">
        <v>4322.84</v>
      </c>
      <c r="G100" s="1690">
        <f>F100/F78-1</f>
        <v>0.60795414389918223</v>
      </c>
      <c r="H100" s="1691">
        <f>(B100*12/(F100-D100))</f>
        <v>8657.1473378700775</v>
      </c>
    </row>
    <row r="101" spans="1:9" s="1680" customFormat="1" ht="27" hidden="1">
      <c r="A101" s="1683" t="s">
        <v>352</v>
      </c>
      <c r="B101" s="1689">
        <v>28996.04</v>
      </c>
      <c r="C101" s="1690" t="e">
        <f>B101/B79-1</f>
        <v>#DIV/0!</v>
      </c>
      <c r="D101" s="1689">
        <v>273.31</v>
      </c>
      <c r="E101" s="1690" t="e">
        <f>D101/D79-1</f>
        <v>#DIV/0!</v>
      </c>
      <c r="F101" s="1689">
        <v>335.61</v>
      </c>
      <c r="G101" s="1690">
        <f>F101/F79-1</f>
        <v>-0.20509237328280427</v>
      </c>
      <c r="H101" s="1691">
        <f>(B101*12/(F101-D101))</f>
        <v>5585.1120385232734</v>
      </c>
    </row>
    <row r="102" spans="1:9" hidden="1"/>
    <row r="103" spans="1:9" hidden="1"/>
    <row r="104" spans="1:9">
      <c r="A104" s="1245" t="s">
        <v>1286</v>
      </c>
      <c r="B104" s="1169"/>
      <c r="C104" s="1170"/>
      <c r="D104" s="1169"/>
      <c r="E104" s="1169"/>
      <c r="F104" s="1246"/>
      <c r="G104" s="1169"/>
    </row>
    <row r="105" spans="1:9" ht="18.75" customHeight="1">
      <c r="A105" s="1980" t="s">
        <v>1086</v>
      </c>
      <c r="B105" s="1174" t="s">
        <v>1087</v>
      </c>
      <c r="C105" s="1175"/>
      <c r="D105" s="1174"/>
      <c r="E105" s="1174"/>
      <c r="F105" s="1174" t="s">
        <v>1088</v>
      </c>
      <c r="G105" s="1174"/>
      <c r="H105" s="1980" t="s">
        <v>241</v>
      </c>
      <c r="I105" s="1693" t="s">
        <v>813</v>
      </c>
    </row>
    <row r="106" spans="1:9" ht="66">
      <c r="A106" s="1981"/>
      <c r="B106" s="1177" t="s">
        <v>243</v>
      </c>
      <c r="C106" s="1178" t="s">
        <v>1089</v>
      </c>
      <c r="D106" s="1177" t="s">
        <v>288</v>
      </c>
      <c r="E106" s="1179" t="s">
        <v>1089</v>
      </c>
      <c r="F106" s="1180" t="s">
        <v>245</v>
      </c>
      <c r="G106" s="1179" t="s">
        <v>1089</v>
      </c>
      <c r="H106" s="1982"/>
    </row>
    <row r="107" spans="1:9" ht="15.6">
      <c r="A107" s="1981"/>
      <c r="B107" s="1181" t="s">
        <v>1090</v>
      </c>
      <c r="C107" s="1182" t="s">
        <v>32</v>
      </c>
      <c r="D107" s="1181" t="s">
        <v>1091</v>
      </c>
      <c r="E107" s="1183" t="s">
        <v>32</v>
      </c>
      <c r="F107" s="1180"/>
      <c r="G107" s="1219"/>
      <c r="H107" s="1259" t="s">
        <v>1118</v>
      </c>
    </row>
    <row r="108" spans="1:9">
      <c r="A108" s="1982"/>
      <c r="B108" s="1180" t="s">
        <v>44</v>
      </c>
      <c r="C108" s="1182"/>
      <c r="D108" s="1180" t="s">
        <v>249</v>
      </c>
      <c r="E108" s="1183"/>
      <c r="F108" s="1180" t="s">
        <v>249</v>
      </c>
      <c r="G108" s="1183" t="s">
        <v>32</v>
      </c>
      <c r="H108" s="1180" t="s">
        <v>1092</v>
      </c>
    </row>
    <row r="109" spans="1:9">
      <c r="A109" s="1186" t="s">
        <v>226</v>
      </c>
      <c r="B109" s="1187">
        <v>446315.56</v>
      </c>
      <c r="C109" s="1185">
        <f>B109/B97-1</f>
        <v>-0.19761406103659118</v>
      </c>
      <c r="D109" s="1187">
        <v>182.68</v>
      </c>
      <c r="E109" s="1185">
        <f>D109/D97-1</f>
        <v>-0.21603295854433091</v>
      </c>
      <c r="F109" s="1187">
        <v>783.69</v>
      </c>
      <c r="G109" s="1185">
        <f>F109/F97-1</f>
        <v>-0.23619192421274227</v>
      </c>
      <c r="H109" s="1188">
        <f>(B109*12/(F109-D109))</f>
        <v>8911.3104940017638</v>
      </c>
    </row>
    <row r="110" spans="1:9">
      <c r="A110" s="1186" t="s">
        <v>211</v>
      </c>
      <c r="B110" s="1187">
        <v>847448.2</v>
      </c>
      <c r="C110" s="1185">
        <f>B110/B98-1</f>
        <v>-0.1659682269289291</v>
      </c>
      <c r="D110" s="1187">
        <v>189.4</v>
      </c>
      <c r="E110" s="1185">
        <f>D110/D98-1</f>
        <v>-0.23987638961351676</v>
      </c>
      <c r="F110" s="1187">
        <v>1348.38</v>
      </c>
      <c r="G110" s="1185">
        <f>F110/F98-1</f>
        <v>-0.21664110429447847</v>
      </c>
      <c r="H110" s="1188">
        <f>(B110*12/(F110-D110))</f>
        <v>8774.4209563581753</v>
      </c>
    </row>
    <row r="111" spans="1:9">
      <c r="A111" s="1186" t="s">
        <v>253</v>
      </c>
      <c r="B111" s="1187">
        <v>1156955</v>
      </c>
      <c r="C111" s="1185">
        <f>B111/B99-1</f>
        <v>-0.1983158128960415</v>
      </c>
      <c r="D111" s="1187">
        <v>482.36</v>
      </c>
      <c r="E111" s="1185">
        <f>D111/D99-1</f>
        <v>-0.19620063322779535</v>
      </c>
      <c r="F111" s="1187">
        <v>2064.62</v>
      </c>
      <c r="G111" s="1185">
        <f>F111/F99-1</f>
        <v>-0.25999017917626943</v>
      </c>
      <c r="H111" s="1188">
        <f>(B111*12/(F111-D111))</f>
        <v>8774.4492055667215</v>
      </c>
    </row>
    <row r="112" spans="1:9">
      <c r="A112" s="1186" t="s">
        <v>215</v>
      </c>
      <c r="B112" s="1187">
        <v>1853656.95</v>
      </c>
      <c r="C112" s="1185">
        <f>B112/B100-1</f>
        <v>-0.29381159360168319</v>
      </c>
      <c r="D112" s="1187">
        <v>519.70000000000005</v>
      </c>
      <c r="E112" s="1185">
        <f>D112/D100-1</f>
        <v>-0.24064874342489762</v>
      </c>
      <c r="F112" s="1187">
        <v>3054.78</v>
      </c>
      <c r="G112" s="1185">
        <f>F112/F100-1</f>
        <v>-0.29333956380527615</v>
      </c>
      <c r="H112" s="1188">
        <f>(B112*12/(F112-D112))</f>
        <v>8774.4305505151715</v>
      </c>
    </row>
    <row r="113" spans="1:8" ht="27">
      <c r="A113" s="1186" t="s">
        <v>352</v>
      </c>
      <c r="B113" s="1187"/>
      <c r="C113" s="1185"/>
      <c r="D113" s="1187"/>
      <c r="E113" s="1185"/>
      <c r="F113" s="1187"/>
      <c r="G113" s="1185"/>
      <c r="H113" s="1188"/>
    </row>
    <row r="115" spans="1:8">
      <c r="A115" s="1245" t="s">
        <v>1287</v>
      </c>
      <c r="B115" s="1169"/>
      <c r="C115" s="1170"/>
      <c r="D115" s="1169"/>
      <c r="E115" s="1169"/>
      <c r="F115" s="1246"/>
      <c r="G115" s="1169"/>
    </row>
    <row r="116" spans="1:8" ht="18.75" customHeight="1">
      <c r="A116" s="1980" t="s">
        <v>1086</v>
      </c>
      <c r="B116" s="1174" t="s">
        <v>1087</v>
      </c>
      <c r="C116" s="1175"/>
      <c r="D116" s="1174"/>
      <c r="E116" s="1174"/>
      <c r="F116" s="1174" t="s">
        <v>1088</v>
      </c>
      <c r="G116" s="1174"/>
      <c r="H116" s="1980" t="s">
        <v>241</v>
      </c>
    </row>
    <row r="117" spans="1:8" ht="66">
      <c r="A117" s="1981"/>
      <c r="B117" s="1177" t="s">
        <v>243</v>
      </c>
      <c r="C117" s="1178" t="s">
        <v>1089</v>
      </c>
      <c r="D117" s="1177" t="s">
        <v>288</v>
      </c>
      <c r="E117" s="1179" t="s">
        <v>1089</v>
      </c>
      <c r="F117" s="1180" t="s">
        <v>245</v>
      </c>
      <c r="G117" s="1179" t="s">
        <v>1089</v>
      </c>
      <c r="H117" s="1982"/>
    </row>
    <row r="118" spans="1:8" ht="15.6">
      <c r="A118" s="1981"/>
      <c r="B118" s="1181" t="s">
        <v>1090</v>
      </c>
      <c r="C118" s="1182" t="s">
        <v>32</v>
      </c>
      <c r="D118" s="1181" t="s">
        <v>1091</v>
      </c>
      <c r="E118" s="1183" t="s">
        <v>32</v>
      </c>
      <c r="F118" s="1180"/>
      <c r="G118" s="1219"/>
      <c r="H118" s="1259" t="s">
        <v>1118</v>
      </c>
    </row>
    <row r="119" spans="1:8">
      <c r="A119" s="1982"/>
      <c r="B119" s="1180" t="s">
        <v>44</v>
      </c>
      <c r="C119" s="1182"/>
      <c r="D119" s="1180" t="s">
        <v>249</v>
      </c>
      <c r="E119" s="1183"/>
      <c r="F119" s="1180" t="s">
        <v>249</v>
      </c>
      <c r="G119" s="1183" t="s">
        <v>32</v>
      </c>
      <c r="H119" s="1180" t="s">
        <v>1092</v>
      </c>
    </row>
    <row r="120" spans="1:8">
      <c r="A120" s="1186" t="s">
        <v>226</v>
      </c>
      <c r="B120" s="1187">
        <v>696788.79</v>
      </c>
      <c r="C120" s="1185">
        <f>B120/B109-1</f>
        <v>0.56120210104258983</v>
      </c>
      <c r="D120" s="1187">
        <v>93.89</v>
      </c>
      <c r="E120" s="1185">
        <f>D120/D109-1</f>
        <v>-0.48604116487847604</v>
      </c>
      <c r="F120" s="1187">
        <v>1048.4000000000001</v>
      </c>
      <c r="G120" s="1185">
        <f t="shared" ref="G120:G123" si="0">F120/F109-1</f>
        <v>0.33777386466587567</v>
      </c>
      <c r="H120" s="1188">
        <f>(B120*12/(F120-D120))</f>
        <v>8759.9558726466985</v>
      </c>
    </row>
    <row r="121" spans="1:8">
      <c r="A121" s="1186" t="s">
        <v>211</v>
      </c>
      <c r="B121" s="1187">
        <v>1170896.3600000001</v>
      </c>
      <c r="C121" s="1185">
        <f t="shared" ref="C121:C123" si="1">B121/B110-1</f>
        <v>0.3816730745312813</v>
      </c>
      <c r="D121" s="1187">
        <v>198.82</v>
      </c>
      <c r="E121" s="1185">
        <f t="shared" ref="E121:E123" si="2">D121/D110-1</f>
        <v>4.9736008447729629E-2</v>
      </c>
      <c r="F121" s="1187">
        <v>1802.78</v>
      </c>
      <c r="G121" s="1185">
        <f t="shared" si="0"/>
        <v>0.33699698897936781</v>
      </c>
      <c r="H121" s="1188">
        <f>(B121*12/(F121-D121))</f>
        <v>8760.0415970473077</v>
      </c>
    </row>
    <row r="122" spans="1:8">
      <c r="A122" s="1186" t="s">
        <v>253</v>
      </c>
      <c r="B122" s="1187">
        <v>1821035.14</v>
      </c>
      <c r="C122" s="1185">
        <f t="shared" si="1"/>
        <v>0.57398960201563587</v>
      </c>
      <c r="D122" s="1187">
        <v>261.7</v>
      </c>
      <c r="E122" s="1185">
        <f t="shared" si="2"/>
        <v>-0.45745915913425661</v>
      </c>
      <c r="F122" s="1187">
        <v>2756.27</v>
      </c>
      <c r="G122" s="1185">
        <f t="shared" si="0"/>
        <v>0.33500111400645172</v>
      </c>
      <c r="H122" s="1188">
        <f>(B122*12/(F122-D122))</f>
        <v>8759.9953819696366</v>
      </c>
    </row>
    <row r="123" spans="1:8">
      <c r="A123" s="1186" t="s">
        <v>215</v>
      </c>
      <c r="B123" s="1187">
        <v>2450996.14</v>
      </c>
      <c r="C123" s="1185">
        <f t="shared" si="1"/>
        <v>0.32224904937237731</v>
      </c>
      <c r="D123" s="1187">
        <v>714.49</v>
      </c>
      <c r="E123" s="1185">
        <f t="shared" si="2"/>
        <v>0.37481239176447945</v>
      </c>
      <c r="F123" s="1187">
        <v>4072.02</v>
      </c>
      <c r="G123" s="1185">
        <f t="shared" si="0"/>
        <v>0.33299943040087987</v>
      </c>
      <c r="H123" s="1188">
        <f>(B123*12/(F123-D123))</f>
        <v>8759.9972837174955</v>
      </c>
    </row>
    <row r="124" spans="1:8" ht="27">
      <c r="A124" s="1186" t="s">
        <v>352</v>
      </c>
      <c r="B124" s="1187"/>
      <c r="C124" s="1185"/>
      <c r="D124" s="1187"/>
      <c r="E124" s="1185"/>
      <c r="F124" s="1187"/>
      <c r="G124" s="1185"/>
      <c r="H124" s="1188"/>
    </row>
  </sheetData>
  <mergeCells count="24">
    <mergeCell ref="A38:A41"/>
    <mergeCell ref="H38:H39"/>
    <mergeCell ref="A49:A52"/>
    <mergeCell ref="H49:H50"/>
    <mergeCell ref="A60:A63"/>
    <mergeCell ref="H60:H61"/>
    <mergeCell ref="A5:A8"/>
    <mergeCell ref="H5:H6"/>
    <mergeCell ref="A16:A19"/>
    <mergeCell ref="H16:H17"/>
    <mergeCell ref="A27:A30"/>
    <mergeCell ref="H27:H28"/>
    <mergeCell ref="A116:A119"/>
    <mergeCell ref="H116:H117"/>
    <mergeCell ref="I60:I61"/>
    <mergeCell ref="A71:A74"/>
    <mergeCell ref="H71:H72"/>
    <mergeCell ref="A82:A85"/>
    <mergeCell ref="H82:H83"/>
    <mergeCell ref="I82:I83"/>
    <mergeCell ref="A93:A96"/>
    <mergeCell ref="H93:H94"/>
    <mergeCell ref="A105:A108"/>
    <mergeCell ref="H105:H10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&amp;R&amp;8&amp;P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69"/>
  <sheetViews>
    <sheetView zoomScaleNormal="100" workbookViewId="0">
      <selection activeCell="K8" sqref="K8"/>
    </sheetView>
  </sheetViews>
  <sheetFormatPr defaultColWidth="9.109375" defaultRowHeight="15.6"/>
  <cols>
    <col min="1" max="1" width="6" style="13" customWidth="1"/>
    <col min="2" max="2" width="42.6640625" style="13" customWidth="1"/>
    <col min="3" max="3" width="7.6640625" style="13" customWidth="1"/>
    <col min="4" max="4" width="11.109375" style="13" customWidth="1"/>
    <col min="5" max="5" width="12.44140625" style="13" customWidth="1"/>
    <col min="6" max="6" width="12.88671875" style="13" customWidth="1"/>
    <col min="7" max="7" width="12.44140625" style="13" customWidth="1"/>
    <col min="8" max="8" width="11" style="13" customWidth="1"/>
    <col min="9" max="9" width="13.109375" style="13" customWidth="1"/>
    <col min="10" max="10" width="10.44140625" style="13" customWidth="1"/>
    <col min="11" max="11" width="12" style="13" customWidth="1"/>
    <col min="12" max="13" width="11.5546875" style="78" customWidth="1"/>
    <col min="14" max="14" width="12.5546875" style="78" bestFit="1" customWidth="1"/>
    <col min="15" max="15" width="9.109375" style="13"/>
    <col min="16" max="16" width="10.44140625" style="13" customWidth="1"/>
    <col min="17" max="18" width="9.109375" style="13"/>
    <col min="19" max="19" width="11.6640625" style="13" customWidth="1"/>
    <col min="20" max="16384" width="9.109375" style="13"/>
  </cols>
  <sheetData>
    <row r="1" spans="1:14">
      <c r="A1" s="49" t="s">
        <v>1103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97"/>
      <c r="M1" s="197"/>
      <c r="N1" s="197"/>
    </row>
    <row r="2" spans="1:14">
      <c r="A2" s="49" t="s">
        <v>628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197"/>
      <c r="M2" s="197"/>
      <c r="N2" s="197"/>
    </row>
    <row r="3" spans="1:14" ht="16.2" thickBot="1">
      <c r="A3" s="1220" t="s">
        <v>1106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197"/>
      <c r="M3" s="197"/>
      <c r="N3" s="197"/>
    </row>
    <row r="4" spans="1:14" ht="16.2" hidden="1" thickBot="1">
      <c r="B4" s="198" t="s">
        <v>286</v>
      </c>
      <c r="C4" s="198"/>
      <c r="D4" s="78"/>
      <c r="E4" s="78"/>
      <c r="F4" s="78"/>
      <c r="G4" s="78"/>
      <c r="H4" s="78"/>
      <c r="I4" s="78"/>
    </row>
    <row r="5" spans="1:14" ht="16.2" hidden="1" thickBot="1">
      <c r="B5" s="78"/>
      <c r="C5" s="78"/>
      <c r="D5" s="78"/>
      <c r="E5" s="78"/>
      <c r="H5" s="78"/>
      <c r="I5" s="78"/>
    </row>
    <row r="6" spans="1:14" ht="27.75" hidden="1" customHeight="1">
      <c r="B6" s="1975" t="s">
        <v>242</v>
      </c>
      <c r="C6" s="527"/>
      <c r="D6" s="2002" t="s">
        <v>243</v>
      </c>
      <c r="E6" s="2002" t="s">
        <v>288</v>
      </c>
      <c r="F6" s="2004" t="s">
        <v>245</v>
      </c>
    </row>
    <row r="7" spans="1:14" ht="48" hidden="1" customHeight="1">
      <c r="B7" s="1976"/>
      <c r="C7" s="528"/>
      <c r="D7" s="2003"/>
      <c r="E7" s="2003"/>
      <c r="F7" s="2004"/>
    </row>
    <row r="8" spans="1:14" ht="18.600000000000001" hidden="1" thickBot="1">
      <c r="B8" s="1976"/>
      <c r="C8" s="528"/>
      <c r="D8" s="199" t="s">
        <v>289</v>
      </c>
      <c r="E8" s="199" t="s">
        <v>290</v>
      </c>
      <c r="F8" s="35"/>
    </row>
    <row r="9" spans="1:14" ht="31.8" hidden="1" thickBot="1">
      <c r="B9" s="1977"/>
      <c r="C9" s="529"/>
      <c r="D9" s="35" t="s">
        <v>44</v>
      </c>
      <c r="E9" s="35" t="s">
        <v>35</v>
      </c>
      <c r="F9" s="35" t="s">
        <v>35</v>
      </c>
      <c r="G9" s="198" t="s">
        <v>241</v>
      </c>
    </row>
    <row r="10" spans="1:14" ht="16.2" hidden="1" thickBot="1">
      <c r="B10" s="35" t="s">
        <v>226</v>
      </c>
      <c r="C10" s="35"/>
      <c r="D10" s="200">
        <v>300621.82</v>
      </c>
      <c r="E10" s="200">
        <v>176.8</v>
      </c>
      <c r="F10" s="201">
        <v>592.41</v>
      </c>
      <c r="G10" s="202">
        <f>(D10*12/(F10-E10))</f>
        <v>8679.9206948822211</v>
      </c>
    </row>
    <row r="11" spans="1:14" ht="16.2" hidden="1" thickBot="1">
      <c r="B11" s="35" t="s">
        <v>211</v>
      </c>
      <c r="C11" s="35"/>
      <c r="D11" s="200">
        <v>490793.23</v>
      </c>
      <c r="E11" s="200">
        <v>180</v>
      </c>
      <c r="F11" s="201">
        <v>969.48</v>
      </c>
      <c r="G11" s="202">
        <f>(D11*12/(F11-E11))</f>
        <v>7459.9974160206712</v>
      </c>
      <c r="H11" s="203"/>
      <c r="I11" s="204"/>
      <c r="L11" s="205"/>
    </row>
    <row r="12" spans="1:14" ht="16.2" hidden="1" thickBot="1">
      <c r="B12" s="206" t="s">
        <v>253</v>
      </c>
      <c r="C12" s="206"/>
      <c r="D12" s="200">
        <v>680321</v>
      </c>
      <c r="E12" s="200">
        <v>210</v>
      </c>
      <c r="F12" s="201">
        <v>1441.35</v>
      </c>
      <c r="G12" s="202">
        <f>(D12*12/(F12-E12))</f>
        <v>6630.0012181751745</v>
      </c>
      <c r="H12" s="44" t="s">
        <v>291</v>
      </c>
    </row>
    <row r="13" spans="1:14" ht="16.2" hidden="1" thickBot="1">
      <c r="B13" s="35" t="s">
        <v>215</v>
      </c>
      <c r="C13" s="35"/>
      <c r="D13" s="200">
        <v>851305.82</v>
      </c>
      <c r="E13" s="200">
        <v>432</v>
      </c>
      <c r="F13" s="201">
        <v>2296.17</v>
      </c>
      <c r="G13" s="202">
        <f>(D13*12/(F13-E13))</f>
        <v>5480.0097845153605</v>
      </c>
      <c r="H13" s="207">
        <f>(365-53)*16</f>
        <v>4992</v>
      </c>
      <c r="I13" s="13" t="s">
        <v>285</v>
      </c>
      <c r="L13" s="78" t="s">
        <v>285</v>
      </c>
    </row>
    <row r="14" spans="1:14" ht="16.2" hidden="1" thickBot="1">
      <c r="B14" s="39"/>
      <c r="C14" s="39"/>
      <c r="D14" s="208"/>
      <c r="E14" s="208"/>
      <c r="F14" s="209"/>
      <c r="G14" s="202"/>
      <c r="H14" s="207"/>
    </row>
    <row r="15" spans="1:14" ht="16.2" thickBot="1">
      <c r="A15" s="2005"/>
      <c r="B15" s="2008" t="s">
        <v>292</v>
      </c>
      <c r="C15" s="531"/>
      <c r="D15" s="2011" t="s">
        <v>293</v>
      </c>
      <c r="E15" s="2012"/>
      <c r="F15" s="210" t="s">
        <v>294</v>
      </c>
      <c r="G15" s="211"/>
      <c r="H15" s="212"/>
      <c r="I15" s="213" t="s">
        <v>295</v>
      </c>
      <c r="J15" s="214"/>
      <c r="K15" s="214"/>
      <c r="L15" s="215"/>
      <c r="M15" s="216"/>
      <c r="N15" s="217"/>
    </row>
    <row r="16" spans="1:14" ht="27.6">
      <c r="A16" s="2006"/>
      <c r="B16" s="2009"/>
      <c r="C16" s="559"/>
      <c r="D16" s="2013"/>
      <c r="E16" s="2014"/>
      <c r="F16" s="218" t="s">
        <v>296</v>
      </c>
      <c r="G16" s="219"/>
      <c r="H16" s="220" t="s">
        <v>297</v>
      </c>
      <c r="I16" s="221" t="s">
        <v>1149</v>
      </c>
      <c r="J16" s="222"/>
      <c r="K16" s="223"/>
      <c r="L16" s="604" t="s">
        <v>1114</v>
      </c>
      <c r="M16" s="224"/>
      <c r="N16" s="1145"/>
    </row>
    <row r="17" spans="1:19" s="233" customFormat="1" ht="80.25" customHeight="1">
      <c r="A17" s="2007"/>
      <c r="B17" s="2010"/>
      <c r="C17" s="530"/>
      <c r="D17" s="79" t="s">
        <v>299</v>
      </c>
      <c r="E17" s="225" t="s">
        <v>300</v>
      </c>
      <c r="F17" s="226" t="s">
        <v>301</v>
      </c>
      <c r="G17" s="9" t="s">
        <v>302</v>
      </c>
      <c r="H17" s="227" t="s">
        <v>303</v>
      </c>
      <c r="I17" s="228" t="s">
        <v>304</v>
      </c>
      <c r="J17" s="79" t="s">
        <v>305</v>
      </c>
      <c r="K17" s="229" t="s">
        <v>103</v>
      </c>
      <c r="L17" s="230" t="s">
        <v>626</v>
      </c>
      <c r="M17" s="231" t="s">
        <v>305</v>
      </c>
      <c r="N17" s="232" t="s">
        <v>103</v>
      </c>
    </row>
    <row r="18" spans="1:19" s="245" customFormat="1" ht="28.5" customHeight="1">
      <c r="A18" s="234">
        <v>1</v>
      </c>
      <c r="B18" s="235">
        <v>2</v>
      </c>
      <c r="C18" s="235"/>
      <c r="D18" s="236">
        <v>3</v>
      </c>
      <c r="E18" s="237">
        <v>4</v>
      </c>
      <c r="F18" s="238">
        <v>5</v>
      </c>
      <c r="G18" s="236">
        <v>6</v>
      </c>
      <c r="H18" s="239">
        <v>7</v>
      </c>
      <c r="I18" s="240" t="s">
        <v>306</v>
      </c>
      <c r="J18" s="241" t="s">
        <v>307</v>
      </c>
      <c r="K18" s="242" t="s">
        <v>308</v>
      </c>
      <c r="L18" s="238">
        <v>11</v>
      </c>
      <c r="M18" s="236">
        <v>12</v>
      </c>
      <c r="N18" s="239">
        <v>13</v>
      </c>
      <c r="O18" s="243" t="s">
        <v>309</v>
      </c>
      <c r="P18" s="244"/>
      <c r="Q18" s="1149" t="s">
        <v>1083</v>
      </c>
      <c r="R18" s="1150"/>
      <c r="S18" s="1151"/>
    </row>
    <row r="19" spans="1:19" ht="27.6">
      <c r="A19" s="246" t="s">
        <v>310</v>
      </c>
      <c r="B19" s="183" t="s">
        <v>311</v>
      </c>
      <c r="C19" s="183"/>
      <c r="D19" s="247"/>
      <c r="E19" s="248"/>
      <c r="F19" s="249"/>
      <c r="G19" s="247"/>
      <c r="H19" s="250"/>
      <c r="I19" s="251">
        <v>2744.8</v>
      </c>
      <c r="J19" s="1351">
        <f>E42*E43/1000</f>
        <v>2216.7543228830214</v>
      </c>
      <c r="K19" s="253">
        <f>ROUND((I19+J19),1)</f>
        <v>4961.6000000000004</v>
      </c>
      <c r="L19" s="1241" t="s">
        <v>1150</v>
      </c>
      <c r="M19" s="1242"/>
      <c r="N19" s="256">
        <f>N23-N31+N36</f>
        <v>5002.0370641783866</v>
      </c>
      <c r="O19" s="243">
        <f>$E$42*$E$43/1000</f>
        <v>2216.7543228830214</v>
      </c>
      <c r="Q19" s="1149">
        <f>N23+K36-N32-K35</f>
        <v>15947.5353648</v>
      </c>
      <c r="R19" s="1151"/>
      <c r="S19" s="1152"/>
    </row>
    <row r="20" spans="1:19" ht="43.5" customHeight="1" thickBot="1">
      <c r="A20" s="257"/>
      <c r="B20" s="247" t="s">
        <v>312</v>
      </c>
      <c r="C20" s="247"/>
      <c r="D20" s="247"/>
      <c r="E20" s="248"/>
      <c r="F20" s="258"/>
      <c r="G20" s="259"/>
      <c r="H20" s="260"/>
      <c r="I20" s="577">
        <f>I23+I36-I31</f>
        <v>3764.1667443999995</v>
      </c>
      <c r="J20" s="261">
        <f>ROUND((J23+J36-J31),1)</f>
        <v>2944.4</v>
      </c>
      <c r="K20" s="253">
        <f>ROUND((I20+J20),1)</f>
        <v>6708.6</v>
      </c>
      <c r="L20" s="1241" t="s">
        <v>1116</v>
      </c>
      <c r="M20" s="1242"/>
      <c r="N20" s="1290">
        <f>N23-K31+N36</f>
        <v>5009.7353955999988</v>
      </c>
      <c r="Q20" s="243"/>
    </row>
    <row r="21" spans="1:19" ht="1.5" hidden="1" customHeight="1">
      <c r="A21" s="264"/>
      <c r="B21" s="265" t="s">
        <v>313</v>
      </c>
      <c r="C21" s="265"/>
      <c r="D21" s="265"/>
      <c r="E21" s="266"/>
      <c r="F21" s="267"/>
      <c r="G21" s="268"/>
      <c r="H21" s="269"/>
      <c r="I21" s="270">
        <f>K19-K20</f>
        <v>-1747</v>
      </c>
      <c r="J21" s="271"/>
      <c r="K21" s="272"/>
      <c r="L21" s="273"/>
      <c r="M21" s="274"/>
      <c r="N21" s="275"/>
    </row>
    <row r="22" spans="1:19" ht="15.75" customHeight="1">
      <c r="A22" s="1989" t="s">
        <v>314</v>
      </c>
      <c r="B22" s="1991" t="s">
        <v>1076</v>
      </c>
      <c r="C22" s="1992"/>
      <c r="D22" s="1993"/>
      <c r="E22" s="1993"/>
      <c r="F22" s="276"/>
      <c r="G22" s="277"/>
      <c r="H22" s="278"/>
      <c r="I22" s="279" t="s">
        <v>315</v>
      </c>
      <c r="J22" s="280"/>
      <c r="K22" s="281"/>
      <c r="L22" s="282" t="s">
        <v>316</v>
      </c>
      <c r="M22" s="280"/>
      <c r="N22" s="283"/>
    </row>
    <row r="23" spans="1:19" ht="24" customHeight="1">
      <c r="A23" s="1990"/>
      <c r="B23" s="1994"/>
      <c r="C23" s="1995"/>
      <c r="D23" s="1995"/>
      <c r="E23" s="1995"/>
      <c r="F23" s="284"/>
      <c r="G23" s="285"/>
      <c r="H23" s="286"/>
      <c r="I23" s="287">
        <f>SUM(I25:I29)</f>
        <v>11373.244758000001</v>
      </c>
      <c r="J23" s="288">
        <f>SUM(J25:J29)</f>
        <v>2756.1878400000005</v>
      </c>
      <c r="K23" s="289">
        <f>I23+J23</f>
        <v>14129.432598000001</v>
      </c>
      <c r="L23" s="262"/>
      <c r="M23" s="181"/>
      <c r="N23" s="289">
        <f>SUM(N25:N29)</f>
        <v>12425.6</v>
      </c>
      <c r="O23" s="564">
        <f>N23-K23</f>
        <v>-1703.8325980000009</v>
      </c>
      <c r="P23" s="578">
        <f>N19-K20</f>
        <v>-1706.5629358216138</v>
      </c>
    </row>
    <row r="24" spans="1:19" ht="27.75" customHeight="1">
      <c r="A24" s="249"/>
      <c r="B24" s="247" t="s">
        <v>317</v>
      </c>
      <c r="C24" s="560" t="s">
        <v>616</v>
      </c>
      <c r="D24" s="1272">
        <f>SUM(D25:D29)</f>
        <v>1.3699999999999999</v>
      </c>
      <c r="E24" s="1138">
        <f>SUM(E25:E29)</f>
        <v>9367.7000000000007</v>
      </c>
      <c r="F24" s="249"/>
      <c r="G24" s="247"/>
      <c r="H24" s="250"/>
      <c r="I24" s="287"/>
      <c r="J24" s="288"/>
      <c r="K24" s="289"/>
      <c r="L24" s="262"/>
      <c r="M24" s="181"/>
      <c r="N24" s="289"/>
    </row>
    <row r="25" spans="1:19">
      <c r="A25" s="257"/>
      <c r="B25" s="291" t="s">
        <v>1075</v>
      </c>
      <c r="C25" s="1154">
        <f>E25/D25</f>
        <v>7140.3508771929828</v>
      </c>
      <c r="D25" s="1272">
        <v>0.56999999999999995</v>
      </c>
      <c r="E25" s="1138">
        <f>2033.37+2036.63</f>
        <v>4070</v>
      </c>
      <c r="F25" s="292">
        <v>364484.63</v>
      </c>
      <c r="G25" s="293">
        <v>151.36000000000001</v>
      </c>
      <c r="H25" s="294">
        <v>671</v>
      </c>
      <c r="I25" s="520">
        <f>D25*F25*12/1000</f>
        <v>2493.0748691999997</v>
      </c>
      <c r="J25" s="520">
        <f>E25*G25/1000</f>
        <v>616.03520000000003</v>
      </c>
      <c r="K25" s="521">
        <f>I25+J25</f>
        <v>3109.1100692</v>
      </c>
      <c r="L25" s="1141"/>
      <c r="M25" s="520"/>
      <c r="N25" s="521">
        <f>ROUND((E25*H25/1000),1)</f>
        <v>2731</v>
      </c>
      <c r="O25" s="1230">
        <f>'2012г.об.под факт2010'!N23-'2012'!N23</f>
        <v>3125.1999999999989</v>
      </c>
    </row>
    <row r="26" spans="1:19">
      <c r="A26" s="257"/>
      <c r="B26" s="291" t="s">
        <v>318</v>
      </c>
      <c r="C26" s="1154">
        <f>E26/D26</f>
        <v>6689.333333333333</v>
      </c>
      <c r="D26" s="1272">
        <v>0.75</v>
      </c>
      <c r="E26" s="1138">
        <f>2506.49+2510.51</f>
        <v>5017</v>
      </c>
      <c r="F26" s="292">
        <v>942948.34</v>
      </c>
      <c r="G26" s="293">
        <v>414.16</v>
      </c>
      <c r="H26" s="294">
        <v>1847.1</v>
      </c>
      <c r="I26" s="520">
        <f>D26*F26*12/1000</f>
        <v>8486.5350600000002</v>
      </c>
      <c r="J26" s="520">
        <f>E26*G26/1000</f>
        <v>2077.8407200000001</v>
      </c>
      <c r="K26" s="521">
        <f>I26+J26</f>
        <v>10564.37578</v>
      </c>
      <c r="L26" s="1141"/>
      <c r="M26" s="520"/>
      <c r="N26" s="521">
        <f>ROUND((E26*H26/1000),1)</f>
        <v>9266.9</v>
      </c>
      <c r="O26" s="1231" t="s">
        <v>1105</v>
      </c>
    </row>
    <row r="27" spans="1:19" ht="26.4">
      <c r="A27" s="257"/>
      <c r="B27" s="295" t="s">
        <v>1074</v>
      </c>
      <c r="C27" s="1154">
        <f>E27/D27</f>
        <v>6600</v>
      </c>
      <c r="D27" s="1272">
        <v>0.02</v>
      </c>
      <c r="E27" s="1138">
        <f>65.4+66.6</f>
        <v>132</v>
      </c>
      <c r="F27" s="292">
        <v>1640145.12</v>
      </c>
      <c r="G27" s="293">
        <v>472.06</v>
      </c>
      <c r="H27" s="294">
        <v>2747.68</v>
      </c>
      <c r="I27" s="520">
        <f>D27*F27*12/1000</f>
        <v>393.63482880000009</v>
      </c>
      <c r="J27" s="520">
        <f>E27*G27/1000</f>
        <v>62.311920000000001</v>
      </c>
      <c r="K27" s="521">
        <f>I27+J27</f>
        <v>455.94674880000008</v>
      </c>
      <c r="L27" s="1141"/>
      <c r="M27" s="520"/>
      <c r="N27" s="521">
        <f>ROUND((E27*H27/1000),1)</f>
        <v>362.7</v>
      </c>
      <c r="Q27" s="1316" t="s">
        <v>1132</v>
      </c>
      <c r="R27" s="1316" t="s">
        <v>187</v>
      </c>
      <c r="S27" s="1316" t="s">
        <v>277</v>
      </c>
    </row>
    <row r="28" spans="1:19" s="358" customFormat="1" ht="28.2">
      <c r="A28" s="257"/>
      <c r="B28" s="295" t="s">
        <v>1073</v>
      </c>
      <c r="C28" s="1154" t="e">
        <f>E28/D28</f>
        <v>#DIV/0!</v>
      </c>
      <c r="D28" s="1346">
        <v>0</v>
      </c>
      <c r="E28" s="1138">
        <f>7.75+8.95</f>
        <v>16.7</v>
      </c>
      <c r="F28" s="292"/>
      <c r="G28" s="293"/>
      <c r="H28" s="294">
        <v>437.28</v>
      </c>
      <c r="I28" s="520">
        <f>D28*F28*12/1000</f>
        <v>0</v>
      </c>
      <c r="J28" s="520">
        <f>E28*G28/1000</f>
        <v>0</v>
      </c>
      <c r="K28" s="521">
        <f>E28*H28/1000</f>
        <v>7.3025759999999993</v>
      </c>
      <c r="L28" s="1141"/>
      <c r="M28" s="520"/>
      <c r="N28" s="521">
        <f>ROUND((E28*H28/1000),1)</f>
        <v>7.3</v>
      </c>
      <c r="Q28" s="1317">
        <v>2006.8</v>
      </c>
      <c r="R28" s="1317">
        <v>2623.4</v>
      </c>
      <c r="S28" s="1317">
        <f>SUM(Q28:R28)</f>
        <v>4630.2</v>
      </c>
    </row>
    <row r="29" spans="1:19" s="358" customFormat="1" ht="28.8" thickBot="1">
      <c r="A29" s="368"/>
      <c r="B29" s="295" t="s">
        <v>319</v>
      </c>
      <c r="C29" s="582">
        <f>E29/D29</f>
        <v>4400</v>
      </c>
      <c r="D29" s="1345">
        <v>0.03</v>
      </c>
      <c r="E29" s="297">
        <f>61.29+70.71</f>
        <v>132</v>
      </c>
      <c r="F29" s="372"/>
      <c r="G29" s="373"/>
      <c r="H29" s="374">
        <f>H28</f>
        <v>437.28</v>
      </c>
      <c r="I29" s="298"/>
      <c r="J29" s="299"/>
      <c r="K29" s="300">
        <f>H29*E29/1000</f>
        <v>57.720959999999998</v>
      </c>
      <c r="L29" s="298"/>
      <c r="M29" s="1142"/>
      <c r="N29" s="300">
        <f>ROUND((E29*H29/1000),1)</f>
        <v>57.7</v>
      </c>
      <c r="O29" s="13"/>
    </row>
    <row r="30" spans="1:19" ht="16.5" customHeight="1">
      <c r="A30" s="1996" t="s">
        <v>320</v>
      </c>
      <c r="B30" s="1997" t="s">
        <v>1077</v>
      </c>
      <c r="C30" s="1155"/>
      <c r="D30" s="1347" t="s">
        <v>321</v>
      </c>
      <c r="E30" s="332"/>
      <c r="F30" s="334" t="s">
        <v>322</v>
      </c>
      <c r="G30" s="301"/>
      <c r="H30" s="301"/>
      <c r="I30" s="302" t="s">
        <v>315</v>
      </c>
      <c r="J30" s="303"/>
      <c r="K30" s="304"/>
      <c r="L30" s="282" t="s">
        <v>316</v>
      </c>
      <c r="M30" s="303"/>
      <c r="N30" s="304"/>
    </row>
    <row r="31" spans="1:19" ht="27.6">
      <c r="A31" s="1990"/>
      <c r="B31" s="1998"/>
      <c r="C31" s="1156"/>
      <c r="D31" s="1348" t="s">
        <v>299</v>
      </c>
      <c r="E31" s="333" t="s">
        <v>300</v>
      </c>
      <c r="F31" s="335" t="s">
        <v>323</v>
      </c>
      <c r="G31" s="305" t="s">
        <v>35</v>
      </c>
      <c r="H31" s="376" t="s">
        <v>508</v>
      </c>
      <c r="I31" s="1141">
        <f>SUM(I32:I35)</f>
        <v>10236.2379404</v>
      </c>
      <c r="J31" s="520">
        <f>SUM(J32:J35)</f>
        <v>1118.5294308</v>
      </c>
      <c r="K31" s="1153">
        <f>SUM(K32:K35)</f>
        <v>11354.767371200001</v>
      </c>
      <c r="L31" s="570">
        <f>SUM(L35:L35)</f>
        <v>0</v>
      </c>
      <c r="M31" s="431">
        <f>SUM(M35:M35)</f>
        <v>0</v>
      </c>
      <c r="N31" s="583">
        <f>SUM(N32:N35)</f>
        <v>11362.465702621614</v>
      </c>
    </row>
    <row r="32" spans="1:19" ht="22.5" customHeight="1">
      <c r="A32" s="306">
        <v>1</v>
      </c>
      <c r="B32" s="247" t="s">
        <v>1121</v>
      </c>
      <c r="C32" s="581">
        <f>E32/D32</f>
        <v>7593.7142857142844</v>
      </c>
      <c r="D32" s="1272">
        <v>7.0000000000000007E-2</v>
      </c>
      <c r="E32" s="1138">
        <v>531.55999999999995</v>
      </c>
      <c r="F32" s="1271">
        <v>397902.31</v>
      </c>
      <c r="G32" s="1272">
        <v>93.93</v>
      </c>
      <c r="H32" s="1274">
        <f>K32/E32*1000+35.93</f>
        <v>758.64685454135008</v>
      </c>
      <c r="I32" s="262">
        <f>$D32*$F32*12/1000</f>
        <v>334.23794040000007</v>
      </c>
      <c r="J32" s="181">
        <f>$E32*$G32/1000</f>
        <v>49.929430799999999</v>
      </c>
      <c r="K32" s="263">
        <f>I32+J32</f>
        <v>384.16737120000005</v>
      </c>
      <c r="L32" s="431"/>
      <c r="M32" s="431"/>
      <c r="N32" s="558">
        <f>E32*H32/1000</f>
        <v>403.266322</v>
      </c>
    </row>
    <row r="33" spans="1:15" ht="22.5" customHeight="1">
      <c r="A33" s="1236">
        <v>2</v>
      </c>
      <c r="B33" s="1237" t="s">
        <v>1124</v>
      </c>
      <c r="C33" s="1238">
        <f>E33/D33</f>
        <v>6602.9999999999991</v>
      </c>
      <c r="D33" s="1272">
        <v>7.0000000000000007E-2</v>
      </c>
      <c r="E33" s="1138">
        <v>462.21</v>
      </c>
      <c r="F33" s="1271">
        <v>139799.97</v>
      </c>
      <c r="G33" s="1272">
        <v>95.89</v>
      </c>
      <c r="H33" s="1274">
        <f>K33/E33*1000-18.03</f>
        <v>331.81098137210358</v>
      </c>
      <c r="I33" s="520">
        <f>ROUND(($D$33*$F$33*12/1000),1)</f>
        <v>117.4</v>
      </c>
      <c r="J33" s="520">
        <f>ROUND(($E$33*$G$33/1000),1)</f>
        <v>44.3</v>
      </c>
      <c r="K33" s="521">
        <f>I33+J33</f>
        <v>161.69999999999999</v>
      </c>
      <c r="L33" s="431"/>
      <c r="M33" s="431"/>
      <c r="N33" s="558">
        <f>E33*H33/1000</f>
        <v>153.36635369999999</v>
      </c>
    </row>
    <row r="34" spans="1:15" ht="22.5" customHeight="1">
      <c r="A34" s="1275">
        <v>3</v>
      </c>
      <c r="B34" s="330" t="s">
        <v>1125</v>
      </c>
      <c r="C34" s="1238">
        <f>E34/D34</f>
        <v>7634.3020868457552</v>
      </c>
      <c r="D34" s="1349">
        <f>D24+D32+D35+D38+D39+G42-D33+0.01</f>
        <v>2.87</v>
      </c>
      <c r="E34" s="1340">
        <f>$E$24+$E$38+$E$39+$E$32+$E$35+$E$42-$E$33</f>
        <v>21910.446989247317</v>
      </c>
      <c r="F34" s="1271">
        <v>283891.76</v>
      </c>
      <c r="G34" s="1272">
        <v>46.69</v>
      </c>
      <c r="H34" s="1274">
        <f>K34/E34*1000-0.15</f>
        <v>492.77467676721807</v>
      </c>
      <c r="I34" s="520">
        <f>ROUND(($D$34*$F$34*12/1000),1)</f>
        <v>9777.2000000000007</v>
      </c>
      <c r="J34" s="520">
        <f>ROUND(($E$34*$G$34/1000),1)</f>
        <v>1023</v>
      </c>
      <c r="K34" s="521">
        <f>I34+J34</f>
        <v>10800.2</v>
      </c>
      <c r="L34" s="431"/>
      <c r="M34" s="431"/>
      <c r="N34" s="558">
        <f>E34*H34/1000</f>
        <v>10796.913432951613</v>
      </c>
    </row>
    <row r="35" spans="1:15" ht="22.5" customHeight="1" thickBot="1">
      <c r="A35" s="306">
        <v>4</v>
      </c>
      <c r="B35" s="247" t="s">
        <v>1122</v>
      </c>
      <c r="C35" s="581">
        <f>E35/D35</f>
        <v>9036.7888888888901</v>
      </c>
      <c r="D35" s="1272">
        <v>0.09</v>
      </c>
      <c r="E35" s="1137">
        <v>813.31100000000004</v>
      </c>
      <c r="F35" s="1271">
        <v>6820.2</v>
      </c>
      <c r="G35" s="1272">
        <v>1.61</v>
      </c>
      <c r="H35" s="1274">
        <f>K35/E35*1000+0.27</f>
        <v>10.967015040986782</v>
      </c>
      <c r="I35" s="520">
        <f>ROUND(($D$35*$F$35*12/1000),1)</f>
        <v>7.4</v>
      </c>
      <c r="J35" s="520">
        <f>ROUND(($E$35*$G$35/1000),1)</f>
        <v>1.3</v>
      </c>
      <c r="K35" s="521">
        <f>I35+J35</f>
        <v>8.7000000000000011</v>
      </c>
      <c r="L35" s="431"/>
      <c r="M35" s="431"/>
      <c r="N35" s="558">
        <f>E35*H35/1000</f>
        <v>8.9195939700000011</v>
      </c>
    </row>
    <row r="36" spans="1:15" ht="46.8">
      <c r="A36" s="1276" t="s">
        <v>325</v>
      </c>
      <c r="B36" s="1277" t="s">
        <v>1078</v>
      </c>
      <c r="C36" s="1278"/>
      <c r="D36" s="1343"/>
      <c r="E36" s="1280"/>
      <c r="F36" s="1281" t="s">
        <v>323</v>
      </c>
      <c r="G36" s="1282" t="s">
        <v>35</v>
      </c>
      <c r="H36" s="1283" t="s">
        <v>35</v>
      </c>
      <c r="I36" s="1284">
        <f>SUM(I37:I39)</f>
        <v>2627.1599268</v>
      </c>
      <c r="J36" s="1285">
        <f>SUM(J37:J39)</f>
        <v>1306.7417600000001</v>
      </c>
      <c r="K36" s="1286">
        <f>SUM(K37:K39)</f>
        <v>3933.9016868000003</v>
      </c>
      <c r="L36" s="1287">
        <f>SUM(L38:L39)</f>
        <v>0</v>
      </c>
      <c r="M36" s="1288">
        <f>SUM(M38:M39)</f>
        <v>0</v>
      </c>
      <c r="N36" s="1286">
        <f>SUM(N37:N39)</f>
        <v>3938.9027667999999</v>
      </c>
    </row>
    <row r="37" spans="1:15" hidden="1">
      <c r="A37" s="306">
        <v>1</v>
      </c>
      <c r="B37" s="247" t="s">
        <v>1111</v>
      </c>
      <c r="C37" s="581">
        <f>E37/D37</f>
        <v>7660.9954507857756</v>
      </c>
      <c r="D37" s="1339">
        <f>$D$24+$D$38+$D$39+$D$32+$D$35+$G$42-$D$33</f>
        <v>2.86</v>
      </c>
      <c r="E37" s="1159">
        <f>$E$24+$E$38+$E$39+$E$32+$E$35+$E$42-$E$33</f>
        <v>21910.446989247317</v>
      </c>
      <c r="F37" s="571"/>
      <c r="G37" s="572"/>
      <c r="H37" s="1289">
        <f>K37/E37*1000</f>
        <v>0</v>
      </c>
      <c r="I37" s="1261">
        <f>$D$37*$F$37*12/1000</f>
        <v>0</v>
      </c>
      <c r="J37" s="1262">
        <f>$E$37*$G$37/1000</f>
        <v>0</v>
      </c>
      <c r="K37" s="1263">
        <f>I37+J37</f>
        <v>0</v>
      </c>
      <c r="L37" s="1264"/>
      <c r="M37" s="1262"/>
      <c r="N37" s="1263">
        <f>E37*H37/1000</f>
        <v>0</v>
      </c>
    </row>
    <row r="38" spans="1:15" ht="16.2">
      <c r="A38" s="306">
        <v>1</v>
      </c>
      <c r="B38" s="247" t="s">
        <v>1123</v>
      </c>
      <c r="C38" s="581">
        <f>E38/D38</f>
        <v>8642.2018348623842</v>
      </c>
      <c r="D38" s="1272">
        <v>1.0900000000000001</v>
      </c>
      <c r="E38" s="561">
        <v>9420</v>
      </c>
      <c r="F38" s="292">
        <v>181738.41</v>
      </c>
      <c r="G38" s="293">
        <v>125.28</v>
      </c>
      <c r="H38" s="1270">
        <f>K38/E38*1000</f>
        <v>377.63014891719746</v>
      </c>
      <c r="I38" s="1261">
        <f>$D38*$F38*12/1000</f>
        <v>2377.1384028000002</v>
      </c>
      <c r="J38" s="1262">
        <f>$E38*$G38/1000</f>
        <v>1180.1376</v>
      </c>
      <c r="K38" s="1263">
        <f>I38+J38</f>
        <v>3557.2760028000002</v>
      </c>
      <c r="L38" s="1264"/>
      <c r="M38" s="1262"/>
      <c r="N38" s="1263">
        <f>E38*H38/1000</f>
        <v>3557.2760027999998</v>
      </c>
    </row>
    <row r="39" spans="1:15" ht="32.25" customHeight="1" thickBot="1">
      <c r="A39" s="307">
        <v>2</v>
      </c>
      <c r="B39" s="1240" t="s">
        <v>1120</v>
      </c>
      <c r="C39" s="582">
        <f>E39/D39</f>
        <v>6740</v>
      </c>
      <c r="D39" s="1345">
        <v>0.1</v>
      </c>
      <c r="E39" s="562">
        <v>674</v>
      </c>
      <c r="F39" s="372">
        <v>208351.27</v>
      </c>
      <c r="G39" s="373">
        <v>187.84</v>
      </c>
      <c r="H39" s="1341">
        <f>K39/E39*1000+7.42</f>
        <v>566.21181602373883</v>
      </c>
      <c r="I39" s="1265">
        <f>$D$39*$F$39*12/1000</f>
        <v>250.021524</v>
      </c>
      <c r="J39" s="1266">
        <f>$E$39*$G$39/1000</f>
        <v>126.60416000000001</v>
      </c>
      <c r="K39" s="1267">
        <f>I39+J39</f>
        <v>376.62568399999998</v>
      </c>
      <c r="L39" s="579"/>
      <c r="M39" s="580"/>
      <c r="N39" s="1268">
        <f>E39*H39/1000</f>
        <v>381.62676399999998</v>
      </c>
    </row>
    <row r="40" spans="1:15" hidden="1">
      <c r="F40" s="78"/>
      <c r="G40" s="78"/>
      <c r="H40" s="78"/>
      <c r="L40" s="13"/>
      <c r="M40" s="13"/>
      <c r="N40" s="13"/>
    </row>
    <row r="41" spans="1:15">
      <c r="B41" s="44" t="s">
        <v>257</v>
      </c>
      <c r="C41" s="44"/>
      <c r="L41" s="13"/>
      <c r="M41" s="13"/>
      <c r="N41" s="13"/>
    </row>
    <row r="42" spans="1:15">
      <c r="D42" s="44" t="s">
        <v>1082</v>
      </c>
      <c r="E42" s="794">
        <f>(E24+E32+E35+E38+E39)/(1-7/100)*7/100</f>
        <v>1566.085989247312</v>
      </c>
      <c r="F42" s="13" t="s">
        <v>326</v>
      </c>
      <c r="G42" s="13">
        <v>0.21</v>
      </c>
      <c r="H42" s="1338">
        <f>E42/(E34+E33)</f>
        <v>6.9999999999999993E-2</v>
      </c>
      <c r="L42" s="13"/>
      <c r="M42" s="13"/>
      <c r="N42" s="13"/>
    </row>
    <row r="43" spans="1:15">
      <c r="D43" s="44" t="s">
        <v>327</v>
      </c>
      <c r="E43" s="1337">
        <f>2216.76/1566.09*1000</f>
        <v>1415.4742064632301</v>
      </c>
      <c r="F43" s="13" t="s">
        <v>328</v>
      </c>
      <c r="L43" s="13"/>
      <c r="M43" s="13"/>
      <c r="N43" s="13"/>
    </row>
    <row r="44" spans="1:15" hidden="1"/>
    <row r="45" spans="1:15" hidden="1">
      <c r="E45" s="13" t="s">
        <v>328</v>
      </c>
      <c r="G45" s="377" t="s">
        <v>623</v>
      </c>
      <c r="H45" s="377"/>
      <c r="I45" s="377"/>
      <c r="J45" s="377"/>
      <c r="K45" s="377"/>
    </row>
    <row r="46" spans="1:15" hidden="1">
      <c r="E46" s="384"/>
      <c r="F46" s="383"/>
      <c r="G46" s="378" t="s">
        <v>322</v>
      </c>
      <c r="H46" s="378"/>
      <c r="I46" s="378"/>
      <c r="J46" s="382" t="s">
        <v>509</v>
      </c>
      <c r="K46" s="382"/>
      <c r="L46" s="13"/>
      <c r="M46" s="13"/>
      <c r="N46" s="13"/>
      <c r="O46" s="309"/>
    </row>
    <row r="47" spans="1:15" ht="27" hidden="1">
      <c r="E47" s="384"/>
      <c r="F47" s="383"/>
      <c r="G47" s="379" t="s">
        <v>323</v>
      </c>
      <c r="H47" s="379" t="s">
        <v>35</v>
      </c>
      <c r="I47" s="380" t="s">
        <v>508</v>
      </c>
      <c r="J47" s="377"/>
      <c r="K47" s="377"/>
      <c r="L47" s="13"/>
      <c r="M47" s="13"/>
      <c r="N47" s="13"/>
      <c r="O47" s="310"/>
    </row>
    <row r="48" spans="1:15" hidden="1">
      <c r="E48" s="384"/>
      <c r="F48" s="383"/>
      <c r="G48" s="125"/>
      <c r="H48" s="125"/>
      <c r="I48" s="125"/>
      <c r="J48" s="377"/>
      <c r="K48" s="377"/>
      <c r="L48" s="13"/>
      <c r="M48" s="13"/>
      <c r="N48" s="13"/>
      <c r="O48" s="309"/>
    </row>
    <row r="49" spans="2:14" hidden="1">
      <c r="E49" s="384"/>
      <c r="F49" s="383" t="s">
        <v>624</v>
      </c>
      <c r="G49" s="125"/>
      <c r="H49" s="125"/>
      <c r="I49" s="125"/>
      <c r="J49" s="377"/>
      <c r="K49" s="377"/>
    </row>
    <row r="50" spans="2:14" hidden="1">
      <c r="E50" s="384"/>
      <c r="F50" s="383" t="s">
        <v>324</v>
      </c>
      <c r="G50" s="381"/>
      <c r="H50" s="381"/>
      <c r="I50" s="381"/>
      <c r="J50" s="377"/>
      <c r="K50" s="381"/>
    </row>
    <row r="51" spans="2:14" hidden="1">
      <c r="E51" s="384"/>
      <c r="F51" s="383" t="s">
        <v>350</v>
      </c>
      <c r="G51" s="381"/>
      <c r="H51" s="381"/>
      <c r="I51" s="381"/>
      <c r="J51" s="377"/>
      <c r="K51" s="381"/>
    </row>
    <row r="52" spans="2:14" hidden="1">
      <c r="E52" s="384"/>
      <c r="F52" s="383" t="s">
        <v>621</v>
      </c>
      <c r="G52" s="381"/>
      <c r="H52" s="381"/>
      <c r="I52" s="381"/>
      <c r="J52" s="377"/>
      <c r="K52" s="381"/>
    </row>
    <row r="53" spans="2:14" hidden="1">
      <c r="E53" s="384"/>
      <c r="F53" s="383" t="s">
        <v>186</v>
      </c>
      <c r="G53" s="381"/>
      <c r="H53" s="381"/>
      <c r="I53" s="381"/>
      <c r="J53" s="377"/>
      <c r="K53" s="381"/>
    </row>
    <row r="54" spans="2:14" hidden="1"/>
    <row r="55" spans="2:14" hidden="1"/>
    <row r="56" spans="2:14" hidden="1">
      <c r="K56" s="78"/>
      <c r="L56" s="13"/>
      <c r="M56" s="13"/>
      <c r="N56" s="13"/>
    </row>
    <row r="57" spans="2:14" hidden="1"/>
    <row r="58" spans="2:14" hidden="1"/>
    <row r="59" spans="2:14" ht="12.75" customHeight="1">
      <c r="B59" s="4" t="s">
        <v>1115</v>
      </c>
      <c r="C59" s="4"/>
      <c r="D59" s="4"/>
      <c r="E59" s="4"/>
      <c r="F59" s="4"/>
      <c r="G59" s="100"/>
      <c r="H59" s="101"/>
    </row>
    <row r="60" spans="2:14">
      <c r="B60" s="1987" t="s">
        <v>242</v>
      </c>
      <c r="C60" s="6"/>
      <c r="D60" s="6"/>
      <c r="E60" s="2000" t="s">
        <v>243</v>
      </c>
      <c r="F60" s="17" t="s">
        <v>244</v>
      </c>
      <c r="G60" s="1987" t="s">
        <v>245</v>
      </c>
      <c r="H60" s="4"/>
    </row>
    <row r="61" spans="2:14" ht="66.599999999999994">
      <c r="B61" s="1999"/>
      <c r="C61" s="11"/>
      <c r="D61" s="11"/>
      <c r="E61" s="2001"/>
      <c r="F61" s="17" t="s">
        <v>246</v>
      </c>
      <c r="G61" s="1988"/>
      <c r="H61" s="4"/>
    </row>
    <row r="62" spans="2:14" ht="16.8">
      <c r="B62" s="1999"/>
      <c r="C62" s="11"/>
      <c r="D62" s="11"/>
      <c r="E62" s="81" t="s">
        <v>247</v>
      </c>
      <c r="F62" s="81" t="s">
        <v>248</v>
      </c>
      <c r="G62" s="9"/>
      <c r="H62" s="101" t="s">
        <v>241</v>
      </c>
    </row>
    <row r="63" spans="2:14" ht="15.75" customHeight="1">
      <c r="B63" s="1988"/>
      <c r="C63" s="7"/>
      <c r="D63" s="7"/>
      <c r="E63" s="9" t="s">
        <v>44</v>
      </c>
      <c r="F63" s="9" t="s">
        <v>249</v>
      </c>
      <c r="G63" s="9" t="s">
        <v>249</v>
      </c>
      <c r="H63" s="100"/>
    </row>
    <row r="64" spans="2:14">
      <c r="B64" s="9" t="s">
        <v>226</v>
      </c>
      <c r="C64" s="538"/>
      <c r="D64" s="538"/>
      <c r="E64" s="191">
        <f>'1 И 2 ПОЛУГОДИЕ 2012'!B53</f>
        <v>364484.63</v>
      </c>
      <c r="F64" s="191">
        <f>'1 И 2 ПОЛУГОДИЕ 2012'!D53</f>
        <v>151.36000000000001</v>
      </c>
      <c r="G64" s="191">
        <f>'1 И 2 ПОЛУГОДИЕ 2012'!F53</f>
        <v>671</v>
      </c>
      <c r="H64" s="540">
        <f>(E64*12/(G64-F64))</f>
        <v>8417.0109306442937</v>
      </c>
    </row>
    <row r="65" spans="2:8">
      <c r="B65" s="9" t="s">
        <v>211</v>
      </c>
      <c r="C65" s="9"/>
      <c r="D65" s="1163"/>
      <c r="E65" s="191">
        <f>'1 И 2 ПОЛУГОДИЕ 2012'!B54</f>
        <v>684381.17</v>
      </c>
      <c r="F65" s="191">
        <f>'1 И 2 ПОЛУГОДИЕ 2012'!D54</f>
        <v>162.12</v>
      </c>
      <c r="G65" s="191">
        <f>'1 И 2 ПОЛУГОДИЕ 2012'!F54</f>
        <v>1153.6500000000001</v>
      </c>
      <c r="H65" s="100">
        <f>(E65*12/(G65-F65))</f>
        <v>8282.7287525339634</v>
      </c>
    </row>
    <row r="66" spans="2:8">
      <c r="B66" s="17" t="s">
        <v>253</v>
      </c>
      <c r="C66" s="17"/>
      <c r="D66" s="1225"/>
      <c r="E66" s="191">
        <f>'1 И 2 ПОЛУГОДИЕ 2012'!B55</f>
        <v>942948.34</v>
      </c>
      <c r="F66" s="191">
        <f>'1 И 2 ПОЛУГОДИЕ 2012'!D55</f>
        <v>414.16</v>
      </c>
      <c r="G66" s="191">
        <f>'1 И 2 ПОЛУГОДИЕ 2012'!F55</f>
        <v>1847.1</v>
      </c>
      <c r="H66" s="100">
        <f>(E66*12/(G66-F66))</f>
        <v>7896.6181975518875</v>
      </c>
    </row>
    <row r="67" spans="2:8">
      <c r="B67" s="9" t="s">
        <v>215</v>
      </c>
      <c r="C67" s="538"/>
      <c r="D67" s="538"/>
      <c r="E67" s="191">
        <f>'1 И 2 ПОЛУГОДИЕ 2012'!B56</f>
        <v>1640145.12</v>
      </c>
      <c r="F67" s="191">
        <f>'1 И 2 ПОЛУГОДИЕ 2012'!D56</f>
        <v>472.06</v>
      </c>
      <c r="G67" s="191">
        <f>'1 И 2 ПОЛУГОДИЕ 2012'!F56</f>
        <v>2747.68</v>
      </c>
      <c r="H67" s="540">
        <f>(E67*12/(G67-F67))</f>
        <v>8648.9578400611717</v>
      </c>
    </row>
    <row r="68" spans="2:8">
      <c r="B68" s="341" t="s">
        <v>352</v>
      </c>
      <c r="C68" s="341"/>
      <c r="D68" s="1226"/>
      <c r="E68" s="191"/>
      <c r="F68" s="191"/>
      <c r="G68" s="191">
        <f>'1 И 2 ПОЛУГОДИЕ 2012'!F57</f>
        <v>437.28</v>
      </c>
      <c r="H68" s="196">
        <f>(E68*12/(G68-F68))</f>
        <v>0</v>
      </c>
    </row>
    <row r="69" spans="2:8">
      <c r="B69" s="47"/>
      <c r="C69" s="47"/>
      <c r="D69" s="47"/>
      <c r="E69" s="47"/>
      <c r="F69" s="47"/>
      <c r="G69" s="47"/>
      <c r="H69" s="47"/>
    </row>
  </sheetData>
  <mergeCells count="14">
    <mergeCell ref="B6:B9"/>
    <mergeCell ref="D6:D7"/>
    <mergeCell ref="E6:E7"/>
    <mergeCell ref="F6:F7"/>
    <mergeCell ref="A15:A17"/>
    <mergeCell ref="B15:B17"/>
    <mergeCell ref="D15:E16"/>
    <mergeCell ref="G60:G61"/>
    <mergeCell ref="A22:A23"/>
    <mergeCell ref="B22:E23"/>
    <mergeCell ref="A30:A31"/>
    <mergeCell ref="B30:B31"/>
    <mergeCell ref="B60:B63"/>
    <mergeCell ref="E60:E61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69"/>
  <sheetViews>
    <sheetView topLeftCell="A16" zoomScaleNormal="100" workbookViewId="0">
      <selection activeCell="K8" sqref="K8"/>
    </sheetView>
  </sheetViews>
  <sheetFormatPr defaultColWidth="9.109375" defaultRowHeight="15.6"/>
  <cols>
    <col min="1" max="1" width="6" style="13" customWidth="1"/>
    <col min="2" max="2" width="42.6640625" style="13" customWidth="1"/>
    <col min="3" max="3" width="7.6640625" style="13" customWidth="1"/>
    <col min="4" max="4" width="11.109375" style="13" customWidth="1"/>
    <col min="5" max="5" width="12.44140625" style="13" customWidth="1"/>
    <col min="6" max="6" width="12.88671875" style="13" customWidth="1"/>
    <col min="7" max="7" width="12.44140625" style="13" customWidth="1"/>
    <col min="8" max="8" width="11" style="13" customWidth="1"/>
    <col min="9" max="9" width="13.109375" style="13" customWidth="1"/>
    <col min="10" max="10" width="10.44140625" style="13" customWidth="1"/>
    <col min="11" max="11" width="12" style="13" customWidth="1"/>
    <col min="12" max="13" width="11.5546875" style="78" customWidth="1"/>
    <col min="14" max="14" width="12.5546875" style="78" bestFit="1" customWidth="1"/>
    <col min="15" max="15" width="9.109375" style="13"/>
    <col min="16" max="16" width="10.44140625" style="13" customWidth="1"/>
    <col min="17" max="18" width="9.109375" style="13"/>
    <col min="19" max="19" width="11.6640625" style="13" customWidth="1"/>
    <col min="20" max="16384" width="9.109375" style="13"/>
  </cols>
  <sheetData>
    <row r="1" spans="1:14">
      <c r="A1" s="49" t="s">
        <v>1126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97"/>
      <c r="M1" s="197"/>
      <c r="N1" s="197"/>
    </row>
    <row r="2" spans="1:14">
      <c r="A2" s="49" t="s">
        <v>628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197"/>
      <c r="M2" s="197"/>
      <c r="N2" s="197"/>
    </row>
    <row r="3" spans="1:14" ht="16.2" thickBot="1">
      <c r="A3" s="1220" t="s">
        <v>1106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197"/>
      <c r="M3" s="197"/>
      <c r="N3" s="197"/>
    </row>
    <row r="4" spans="1:14" ht="16.2" hidden="1" thickBot="1">
      <c r="B4" s="198" t="s">
        <v>286</v>
      </c>
      <c r="C4" s="198"/>
      <c r="D4" s="78"/>
      <c r="E4" s="78"/>
      <c r="F4" s="78"/>
      <c r="G4" s="78"/>
      <c r="H4" s="78"/>
      <c r="I4" s="78"/>
    </row>
    <row r="5" spans="1:14" ht="16.2" hidden="1" thickBot="1">
      <c r="B5" s="78"/>
      <c r="C5" s="78"/>
      <c r="D5" s="78"/>
      <c r="E5" s="78"/>
      <c r="H5" s="78"/>
      <c r="I5" s="78"/>
    </row>
    <row r="6" spans="1:14" ht="27.75" hidden="1" customHeight="1">
      <c r="B6" s="1975" t="s">
        <v>242</v>
      </c>
      <c r="C6" s="527"/>
      <c r="D6" s="2002" t="s">
        <v>243</v>
      </c>
      <c r="E6" s="2002" t="s">
        <v>288</v>
      </c>
      <c r="F6" s="2004" t="s">
        <v>245</v>
      </c>
    </row>
    <row r="7" spans="1:14" ht="48" hidden="1" customHeight="1">
      <c r="B7" s="1976"/>
      <c r="C7" s="528"/>
      <c r="D7" s="2003"/>
      <c r="E7" s="2003"/>
      <c r="F7" s="2004"/>
    </row>
    <row r="8" spans="1:14" ht="18.600000000000001" hidden="1" thickBot="1">
      <c r="B8" s="1976"/>
      <c r="C8" s="528"/>
      <c r="D8" s="199" t="s">
        <v>289</v>
      </c>
      <c r="E8" s="199" t="s">
        <v>290</v>
      </c>
      <c r="F8" s="35"/>
    </row>
    <row r="9" spans="1:14" ht="31.8" hidden="1" thickBot="1">
      <c r="B9" s="1977"/>
      <c r="C9" s="529"/>
      <c r="D9" s="35" t="s">
        <v>44</v>
      </c>
      <c r="E9" s="35" t="s">
        <v>35</v>
      </c>
      <c r="F9" s="35" t="s">
        <v>35</v>
      </c>
      <c r="G9" s="198" t="s">
        <v>241</v>
      </c>
    </row>
    <row r="10" spans="1:14" ht="16.2" hidden="1" thickBot="1">
      <c r="B10" s="35" t="s">
        <v>226</v>
      </c>
      <c r="C10" s="35"/>
      <c r="D10" s="200">
        <v>300621.82</v>
      </c>
      <c r="E10" s="200">
        <v>176.8</v>
      </c>
      <c r="F10" s="201">
        <v>592.41</v>
      </c>
      <c r="G10" s="202">
        <f>(D10*12/(F10-E10))</f>
        <v>8679.9206948822211</v>
      </c>
    </row>
    <row r="11" spans="1:14" ht="16.2" hidden="1" thickBot="1">
      <c r="B11" s="35" t="s">
        <v>211</v>
      </c>
      <c r="C11" s="35"/>
      <c r="D11" s="200">
        <v>490793.23</v>
      </c>
      <c r="E11" s="200">
        <v>180</v>
      </c>
      <c r="F11" s="201">
        <v>969.48</v>
      </c>
      <c r="G11" s="202">
        <f>(D11*12/(F11-E11))</f>
        <v>7459.9974160206712</v>
      </c>
      <c r="H11" s="203"/>
      <c r="I11" s="204"/>
      <c r="L11" s="205"/>
    </row>
    <row r="12" spans="1:14" ht="16.2" hidden="1" thickBot="1">
      <c r="B12" s="206" t="s">
        <v>253</v>
      </c>
      <c r="C12" s="206"/>
      <c r="D12" s="200">
        <v>680321</v>
      </c>
      <c r="E12" s="200">
        <v>210</v>
      </c>
      <c r="F12" s="201">
        <v>1441.35</v>
      </c>
      <c r="G12" s="202">
        <f>(D12*12/(F12-E12))</f>
        <v>6630.0012181751745</v>
      </c>
      <c r="H12" s="44" t="s">
        <v>291</v>
      </c>
    </row>
    <row r="13" spans="1:14" ht="16.2" hidden="1" thickBot="1">
      <c r="B13" s="35" t="s">
        <v>215</v>
      </c>
      <c r="C13" s="35"/>
      <c r="D13" s="200">
        <v>851305.82</v>
      </c>
      <c r="E13" s="200">
        <v>432</v>
      </c>
      <c r="F13" s="201">
        <v>2296.17</v>
      </c>
      <c r="G13" s="202">
        <f>(D13*12/(F13-E13))</f>
        <v>5480.0097845153605</v>
      </c>
      <c r="H13" s="207">
        <f>(365-53)*16</f>
        <v>4992</v>
      </c>
      <c r="I13" s="13" t="s">
        <v>285</v>
      </c>
      <c r="L13" s="78" t="s">
        <v>285</v>
      </c>
    </row>
    <row r="14" spans="1:14" ht="16.2" hidden="1" thickBot="1">
      <c r="B14" s="39"/>
      <c r="C14" s="39"/>
      <c r="D14" s="208"/>
      <c r="E14" s="208"/>
      <c r="F14" s="209"/>
      <c r="G14" s="202"/>
      <c r="H14" s="207"/>
    </row>
    <row r="15" spans="1:14" ht="16.2" thickBot="1">
      <c r="A15" s="2005"/>
      <c r="B15" s="2008" t="s">
        <v>292</v>
      </c>
      <c r="C15" s="531"/>
      <c r="D15" s="2011" t="s">
        <v>293</v>
      </c>
      <c r="E15" s="2012"/>
      <c r="F15" s="210" t="s">
        <v>294</v>
      </c>
      <c r="G15" s="211"/>
      <c r="H15" s="212"/>
      <c r="I15" s="213" t="s">
        <v>1127</v>
      </c>
      <c r="J15" s="214"/>
      <c r="K15" s="214"/>
      <c r="L15" s="215"/>
      <c r="M15" s="216"/>
      <c r="N15" s="217"/>
    </row>
    <row r="16" spans="1:14" ht="27.6">
      <c r="A16" s="2006"/>
      <c r="B16" s="2009"/>
      <c r="C16" s="559"/>
      <c r="D16" s="2013"/>
      <c r="E16" s="2014"/>
      <c r="F16" s="218" t="s">
        <v>296</v>
      </c>
      <c r="G16" s="219"/>
      <c r="H16" s="220" t="s">
        <v>297</v>
      </c>
      <c r="I16" s="221" t="s">
        <v>1113</v>
      </c>
      <c r="J16" s="222"/>
      <c r="K16" s="223"/>
      <c r="L16" s="604" t="s">
        <v>349</v>
      </c>
      <c r="M16" s="224"/>
      <c r="N16" s="1145"/>
    </row>
    <row r="17" spans="1:19" s="233" customFormat="1" ht="80.25" customHeight="1">
      <c r="A17" s="2007"/>
      <c r="B17" s="2010"/>
      <c r="C17" s="530"/>
      <c r="D17" s="79" t="s">
        <v>299</v>
      </c>
      <c r="E17" s="225" t="s">
        <v>300</v>
      </c>
      <c r="F17" s="226" t="s">
        <v>301</v>
      </c>
      <c r="G17" s="9" t="s">
        <v>302</v>
      </c>
      <c r="H17" s="227" t="s">
        <v>303</v>
      </c>
      <c r="I17" s="228" t="s">
        <v>304</v>
      </c>
      <c r="J17" s="79" t="s">
        <v>305</v>
      </c>
      <c r="K17" s="229" t="s">
        <v>103</v>
      </c>
      <c r="L17" s="230" t="s">
        <v>626</v>
      </c>
      <c r="M17" s="231" t="s">
        <v>305</v>
      </c>
      <c r="N17" s="232" t="s">
        <v>103</v>
      </c>
    </row>
    <row r="18" spans="1:19" s="245" customFormat="1" ht="28.5" customHeight="1">
      <c r="A18" s="234">
        <v>1</v>
      </c>
      <c r="B18" s="235">
        <v>2</v>
      </c>
      <c r="C18" s="235"/>
      <c r="D18" s="236">
        <v>3</v>
      </c>
      <c r="E18" s="237">
        <v>4</v>
      </c>
      <c r="F18" s="238">
        <v>5</v>
      </c>
      <c r="G18" s="236">
        <v>6</v>
      </c>
      <c r="H18" s="239">
        <v>7</v>
      </c>
      <c r="I18" s="240" t="s">
        <v>306</v>
      </c>
      <c r="J18" s="241" t="s">
        <v>307</v>
      </c>
      <c r="K18" s="242" t="s">
        <v>308</v>
      </c>
      <c r="L18" s="238">
        <v>11</v>
      </c>
      <c r="M18" s="236">
        <v>12</v>
      </c>
      <c r="N18" s="239">
        <v>13</v>
      </c>
      <c r="O18" s="243" t="s">
        <v>309</v>
      </c>
      <c r="P18" s="244"/>
      <c r="Q18" s="1308"/>
      <c r="R18" s="1309"/>
      <c r="S18" s="445"/>
    </row>
    <row r="19" spans="1:19" ht="27.6">
      <c r="A19" s="246" t="s">
        <v>310</v>
      </c>
      <c r="B19" s="183" t="s">
        <v>311</v>
      </c>
      <c r="C19" s="183"/>
      <c r="D19" s="247"/>
      <c r="E19" s="248"/>
      <c r="F19" s="249"/>
      <c r="G19" s="247"/>
      <c r="H19" s="1295"/>
      <c r="I19" s="1296">
        <f>'2012'!I19/2</f>
        <v>1372.4</v>
      </c>
      <c r="J19" s="1297">
        <f>E42*E43/1000</f>
        <v>1090.8186072443823</v>
      </c>
      <c r="K19" s="1299">
        <f>ROUND((I19+J19),1)</f>
        <v>2463.1999999999998</v>
      </c>
      <c r="L19" s="1241" t="s">
        <v>1150</v>
      </c>
      <c r="M19" s="1242"/>
      <c r="N19" s="256">
        <f>N23-N31+N36</f>
        <v>2514.6138126486871</v>
      </c>
      <c r="O19" s="243">
        <f>$E$42*$E$43/1000</f>
        <v>1090.8186072443823</v>
      </c>
      <c r="Q19" s="1308"/>
      <c r="R19" s="445"/>
      <c r="S19" s="1310"/>
    </row>
    <row r="20" spans="1:19" ht="43.5" customHeight="1" thickBot="1">
      <c r="A20" s="257"/>
      <c r="B20" s="247" t="s">
        <v>312</v>
      </c>
      <c r="C20" s="247"/>
      <c r="D20" s="247"/>
      <c r="E20" s="248"/>
      <c r="F20" s="258"/>
      <c r="G20" s="259"/>
      <c r="H20" s="260"/>
      <c r="I20" s="577">
        <f>I23+I36-I31</f>
        <v>1882.0833721999998</v>
      </c>
      <c r="J20" s="261">
        <f>ROUND((J23+J36-J31),1)</f>
        <v>1485.8</v>
      </c>
      <c r="K20" s="253">
        <f>ROUND((I20+J20),1)</f>
        <v>3367.9</v>
      </c>
      <c r="L20" s="1241" t="s">
        <v>1116</v>
      </c>
      <c r="M20" s="1242"/>
      <c r="N20" s="1290">
        <f>N23-K31+N36</f>
        <v>2437.3973991780172</v>
      </c>
      <c r="P20" s="1291">
        <f>N20-J20</f>
        <v>951.59739917801721</v>
      </c>
      <c r="Q20" s="243"/>
    </row>
    <row r="21" spans="1:19" ht="1.5" hidden="1" customHeight="1">
      <c r="A21" s="264"/>
      <c r="B21" s="265" t="s">
        <v>313</v>
      </c>
      <c r="C21" s="265"/>
      <c r="D21" s="265"/>
      <c r="E21" s="266"/>
      <c r="F21" s="267"/>
      <c r="G21" s="268"/>
      <c r="H21" s="269"/>
      <c r="I21" s="270">
        <f>K19-K20</f>
        <v>-904.70000000000027</v>
      </c>
      <c r="J21" s="271"/>
      <c r="K21" s="272"/>
      <c r="L21" s="273"/>
      <c r="M21" s="274"/>
      <c r="N21" s="275"/>
    </row>
    <row r="22" spans="1:19" ht="15.75" customHeight="1">
      <c r="A22" s="1989" t="s">
        <v>314</v>
      </c>
      <c r="B22" s="1991" t="s">
        <v>1076</v>
      </c>
      <c r="C22" s="1992"/>
      <c r="D22" s="1993"/>
      <c r="E22" s="1993"/>
      <c r="F22" s="276"/>
      <c r="G22" s="277"/>
      <c r="H22" s="278"/>
      <c r="I22" s="279" t="s">
        <v>315</v>
      </c>
      <c r="J22" s="280"/>
      <c r="K22" s="281"/>
      <c r="L22" s="282" t="s">
        <v>316</v>
      </c>
      <c r="M22" s="280"/>
      <c r="N22" s="283"/>
    </row>
    <row r="23" spans="1:19" ht="24" customHeight="1">
      <c r="A23" s="1990"/>
      <c r="B23" s="1994"/>
      <c r="C23" s="1995"/>
      <c r="D23" s="1995"/>
      <c r="E23" s="1995"/>
      <c r="F23" s="284"/>
      <c r="G23" s="285"/>
      <c r="H23" s="286"/>
      <c r="I23" s="287">
        <f>SUM(I25:I29)</f>
        <v>5686.6223790000004</v>
      </c>
      <c r="J23" s="288">
        <f>SUM(J25:J29)</f>
        <v>1406.9213168000001</v>
      </c>
      <c r="K23" s="289">
        <f>SUM(K25:K29)</f>
        <v>7093.5436958</v>
      </c>
      <c r="L23" s="262"/>
      <c r="M23" s="181"/>
      <c r="N23" s="289">
        <f>SUM(N25:N29)</f>
        <v>6204</v>
      </c>
      <c r="O23" s="564">
        <f>N23-K23</f>
        <v>-889.54369580000002</v>
      </c>
      <c r="P23" s="578">
        <f>N19-K20</f>
        <v>-853.28618735131295</v>
      </c>
    </row>
    <row r="24" spans="1:19" ht="27.75" customHeight="1">
      <c r="A24" s="249"/>
      <c r="B24" s="247" t="s">
        <v>317</v>
      </c>
      <c r="C24" s="560" t="s">
        <v>616</v>
      </c>
      <c r="D24" s="1272">
        <f>SUM(D25:D29)</f>
        <v>1.3699999999999999</v>
      </c>
      <c r="E24" s="1138">
        <f>SUM(E25:E29)</f>
        <v>4674.2999999999993</v>
      </c>
      <c r="F24" s="249"/>
      <c r="G24" s="247"/>
      <c r="H24" s="250"/>
      <c r="I24" s="1292"/>
      <c r="J24" s="288"/>
      <c r="K24" s="289"/>
      <c r="L24" s="262"/>
      <c r="M24" s="181"/>
      <c r="N24" s="289"/>
    </row>
    <row r="25" spans="1:19">
      <c r="A25" s="257"/>
      <c r="B25" s="291" t="s">
        <v>1075</v>
      </c>
      <c r="C25" s="1154">
        <f>E25/D25</f>
        <v>3567.3157894736842</v>
      </c>
      <c r="D25" s="1272">
        <f>'2012'!D25</f>
        <v>0.56999999999999995</v>
      </c>
      <c r="E25" s="1138">
        <f>2033.37</f>
        <v>2033.37</v>
      </c>
      <c r="F25" s="292">
        <f>E64</f>
        <v>364484.63</v>
      </c>
      <c r="G25" s="293">
        <f>F64</f>
        <v>151.36000000000001</v>
      </c>
      <c r="H25" s="294">
        <f>G64</f>
        <v>671</v>
      </c>
      <c r="I25" s="1293">
        <f>D25*F25*6/1000</f>
        <v>1246.5374345999999</v>
      </c>
      <c r="J25" s="520">
        <f>E25*G25/1000</f>
        <v>307.77088320000001</v>
      </c>
      <c r="K25" s="521">
        <f>I25+J25</f>
        <v>1554.3083177999999</v>
      </c>
      <c r="L25" s="1141"/>
      <c r="M25" s="520"/>
      <c r="N25" s="521">
        <f>ROUND((E25*H25/1000),1)</f>
        <v>1364.4</v>
      </c>
      <c r="O25" s="1230">
        <f>'2012г.об.под факт2010'!N23-'1п-е 2012'!N23</f>
        <v>9346.7999999999993</v>
      </c>
    </row>
    <row r="26" spans="1:19">
      <c r="A26" s="257"/>
      <c r="B26" s="291" t="s">
        <v>318</v>
      </c>
      <c r="C26" s="1154">
        <f>E26/D26</f>
        <v>3341.9866666666662</v>
      </c>
      <c r="D26" s="1272">
        <f>'2012'!D26</f>
        <v>0.75</v>
      </c>
      <c r="E26" s="1138">
        <f>2506.49</f>
        <v>2506.4899999999998</v>
      </c>
      <c r="F26" s="292">
        <f t="shared" ref="F26:H27" si="0">E66</f>
        <v>942948.34</v>
      </c>
      <c r="G26" s="293">
        <f t="shared" si="0"/>
        <v>414.16</v>
      </c>
      <c r="H26" s="294">
        <f t="shared" si="0"/>
        <v>1847.1</v>
      </c>
      <c r="I26" s="1293">
        <f>D26*F26*6/1000</f>
        <v>4243.2675300000001</v>
      </c>
      <c r="J26" s="520">
        <f>E26*G26/1000</f>
        <v>1038.0878983999999</v>
      </c>
      <c r="K26" s="521">
        <f>I26+J26</f>
        <v>5281.3554284000002</v>
      </c>
      <c r="L26" s="1141"/>
      <c r="M26" s="520"/>
      <c r="N26" s="521">
        <f>ROUND((E26*H26/1000),1)</f>
        <v>4629.7</v>
      </c>
      <c r="O26" s="1231" t="s">
        <v>1105</v>
      </c>
    </row>
    <row r="27" spans="1:19">
      <c r="A27" s="257"/>
      <c r="B27" s="295" t="s">
        <v>1074</v>
      </c>
      <c r="C27" s="1154">
        <f>E27/D27</f>
        <v>3270</v>
      </c>
      <c r="D27" s="1272">
        <f>'2012'!D27</f>
        <v>0.02</v>
      </c>
      <c r="E27" s="1138">
        <f>65.4</f>
        <v>65.400000000000006</v>
      </c>
      <c r="F27" s="292">
        <f t="shared" si="0"/>
        <v>1640145.12</v>
      </c>
      <c r="G27" s="293">
        <f t="shared" si="0"/>
        <v>472.06</v>
      </c>
      <c r="H27" s="294">
        <f t="shared" si="0"/>
        <v>2747.68</v>
      </c>
      <c r="I27" s="1293">
        <f>D27*F27*6/1000</f>
        <v>196.81741440000005</v>
      </c>
      <c r="J27" s="520">
        <f>E27*G27/1000</f>
        <v>30.872724000000002</v>
      </c>
      <c r="K27" s="521">
        <f>I27+J27</f>
        <v>227.69013840000005</v>
      </c>
      <c r="L27" s="1141"/>
      <c r="M27" s="520"/>
      <c r="N27" s="521">
        <f>ROUND((E27*H27/1000),1)</f>
        <v>179.7</v>
      </c>
    </row>
    <row r="28" spans="1:19" s="358" customFormat="1" ht="28.2">
      <c r="A28" s="257"/>
      <c r="B28" s="295" t="s">
        <v>1073</v>
      </c>
      <c r="C28" s="1154" t="e">
        <f>E28/D28</f>
        <v>#DIV/0!</v>
      </c>
      <c r="D28" s="1272">
        <f>'2012'!D28</f>
        <v>0</v>
      </c>
      <c r="E28" s="1138">
        <f>7.75</f>
        <v>7.75</v>
      </c>
      <c r="F28" s="292"/>
      <c r="G28" s="293"/>
      <c r="H28" s="294">
        <f>G68</f>
        <v>437.28</v>
      </c>
      <c r="I28" s="1293">
        <f>D28*F28*6/1000</f>
        <v>0</v>
      </c>
      <c r="J28" s="520">
        <f>K28</f>
        <v>3.3889199999999997</v>
      </c>
      <c r="K28" s="521">
        <f>E28*H28/1000</f>
        <v>3.3889199999999997</v>
      </c>
      <c r="L28" s="1141"/>
      <c r="M28" s="520"/>
      <c r="N28" s="521">
        <f>ROUND((E28*H28/1000),1)</f>
        <v>3.4</v>
      </c>
    </row>
    <row r="29" spans="1:19" s="358" customFormat="1" ht="28.8" thickBot="1">
      <c r="A29" s="368"/>
      <c r="B29" s="295" t="s">
        <v>319</v>
      </c>
      <c r="C29" s="582">
        <f>E29/D29</f>
        <v>2043</v>
      </c>
      <c r="D29" s="1345">
        <f>'2012'!D29</f>
        <v>0.03</v>
      </c>
      <c r="E29" s="297">
        <f>61.29</f>
        <v>61.29</v>
      </c>
      <c r="F29" s="372"/>
      <c r="G29" s="373"/>
      <c r="H29" s="374">
        <f>H28</f>
        <v>437.28</v>
      </c>
      <c r="I29" s="1294"/>
      <c r="J29" s="299">
        <f>K29</f>
        <v>26.800891199999999</v>
      </c>
      <c r="K29" s="300">
        <f>H29*E29/1000</f>
        <v>26.800891199999999</v>
      </c>
      <c r="L29" s="298"/>
      <c r="M29" s="1142"/>
      <c r="N29" s="300">
        <f>ROUND((E29*H29/1000),1)</f>
        <v>26.8</v>
      </c>
      <c r="O29" s="13"/>
    </row>
    <row r="30" spans="1:19" ht="16.5" customHeight="1">
      <c r="A30" s="1996" t="s">
        <v>320</v>
      </c>
      <c r="B30" s="1997" t="s">
        <v>1077</v>
      </c>
      <c r="C30" s="1155"/>
      <c r="D30" s="301" t="s">
        <v>321</v>
      </c>
      <c r="E30" s="332"/>
      <c r="F30" s="334" t="s">
        <v>322</v>
      </c>
      <c r="G30" s="301"/>
      <c r="H30" s="301"/>
      <c r="I30" s="302" t="s">
        <v>315</v>
      </c>
      <c r="J30" s="303"/>
      <c r="K30" s="304"/>
      <c r="L30" s="282" t="s">
        <v>316</v>
      </c>
      <c r="M30" s="303"/>
      <c r="N30" s="304"/>
    </row>
    <row r="31" spans="1:19" ht="27.6">
      <c r="A31" s="1990"/>
      <c r="B31" s="1998"/>
      <c r="C31" s="1156"/>
      <c r="D31" s="231" t="s">
        <v>299</v>
      </c>
      <c r="E31" s="333" t="s">
        <v>300</v>
      </c>
      <c r="F31" s="335" t="s">
        <v>323</v>
      </c>
      <c r="G31" s="305" t="s">
        <v>35</v>
      </c>
      <c r="H31" s="376" t="s">
        <v>508</v>
      </c>
      <c r="I31" s="1305">
        <f>SUM(I32:I35)</f>
        <v>5118.1189702000001</v>
      </c>
      <c r="J31" s="1306">
        <f>SUM(J32:J35)</f>
        <v>552.97982752000007</v>
      </c>
      <c r="K31" s="1153">
        <f>SUM(K32:K35)</f>
        <v>5671.0987977200002</v>
      </c>
      <c r="L31" s="570">
        <f>SUM(L35:L35)</f>
        <v>0</v>
      </c>
      <c r="M31" s="431">
        <f>SUM(M35:M35)</f>
        <v>0</v>
      </c>
      <c r="N31" s="583">
        <f>SUM(N32:N35)</f>
        <v>5593.8823842493302</v>
      </c>
    </row>
    <row r="32" spans="1:19" ht="22.5" customHeight="1">
      <c r="A32" s="306">
        <v>1</v>
      </c>
      <c r="B32" s="247" t="s">
        <v>1121</v>
      </c>
      <c r="C32" s="581">
        <f>E32/D32</f>
        <v>3875.2</v>
      </c>
      <c r="D32" s="1272">
        <f>'2012'!D32</f>
        <v>7.0000000000000007E-2</v>
      </c>
      <c r="E32" s="1138">
        <v>271.26400000000001</v>
      </c>
      <c r="F32" s="1271">
        <v>397902.31</v>
      </c>
      <c r="G32" s="1272">
        <v>93.93</v>
      </c>
      <c r="H32" s="1273">
        <v>758.64685454135008</v>
      </c>
      <c r="I32" s="262">
        <f>$D32*$F32*6/1000</f>
        <v>167.11897020000004</v>
      </c>
      <c r="J32" s="181">
        <f>$E32*$G32/1000</f>
        <v>25.479827520000004</v>
      </c>
      <c r="K32" s="263">
        <f>I32+J32</f>
        <v>192.59879772000005</v>
      </c>
      <c r="L32" s="431"/>
      <c r="M32" s="431"/>
      <c r="N32" s="558">
        <f>E32*H32/1000</f>
        <v>205.79358035030481</v>
      </c>
    </row>
    <row r="33" spans="1:15" ht="22.5" customHeight="1">
      <c r="A33" s="1236">
        <v>2</v>
      </c>
      <c r="B33" s="1237" t="s">
        <v>1124</v>
      </c>
      <c r="C33" s="1238">
        <f>E33/D33</f>
        <v>3689.8285714285712</v>
      </c>
      <c r="D33" s="1272">
        <f>'2012'!D33</f>
        <v>7.0000000000000007E-2</v>
      </c>
      <c r="E33" s="1138">
        <v>258.28800000000001</v>
      </c>
      <c r="F33" s="1271">
        <v>139799.97</v>
      </c>
      <c r="G33" s="1272">
        <v>95.89</v>
      </c>
      <c r="H33" s="1274">
        <v>331.81098137210358</v>
      </c>
      <c r="I33" s="520">
        <f>ROUND(($D$33*$F$33*6/1000),1)</f>
        <v>58.7</v>
      </c>
      <c r="J33" s="520">
        <f>ROUND(($E$33*$G$33/1000),1)</f>
        <v>24.8</v>
      </c>
      <c r="K33" s="521">
        <f>I33+J33</f>
        <v>83.5</v>
      </c>
      <c r="L33" s="431"/>
      <c r="M33" s="431"/>
      <c r="N33" s="558">
        <f>E33*H33/1000</f>
        <v>85.7027947566379</v>
      </c>
    </row>
    <row r="34" spans="1:15" ht="22.5" customHeight="1">
      <c r="A34" s="1275">
        <v>3</v>
      </c>
      <c r="B34" s="330" t="s">
        <v>1125</v>
      </c>
      <c r="C34" s="1238">
        <f>E34/D34</f>
        <v>3745.9338953205188</v>
      </c>
      <c r="D34" s="1342">
        <f>'2012'!D34</f>
        <v>2.87</v>
      </c>
      <c r="E34" s="1143">
        <f>$E$24+$E$38+$E$39+$E$32+$E$35+$E$42-$E$33</f>
        <v>10750.830279569889</v>
      </c>
      <c r="F34" s="1271">
        <v>283891.76</v>
      </c>
      <c r="G34" s="1272">
        <v>46.69</v>
      </c>
      <c r="H34" s="1274">
        <v>492.77467676721807</v>
      </c>
      <c r="I34" s="520">
        <f>ROUND(($D$34*$F$34*6/1000),1)</f>
        <v>4888.6000000000004</v>
      </c>
      <c r="J34" s="520">
        <f>ROUND(($E$34*$G$34/1000),1)</f>
        <v>502</v>
      </c>
      <c r="K34" s="521">
        <f>I34+J34</f>
        <v>5390.6</v>
      </c>
      <c r="L34" s="431"/>
      <c r="M34" s="431"/>
      <c r="N34" s="558">
        <f>E34*H34/1000</f>
        <v>5297.7369159942727</v>
      </c>
    </row>
    <row r="35" spans="1:15" ht="22.5" customHeight="1" thickBot="1">
      <c r="A35" s="306">
        <v>4</v>
      </c>
      <c r="B35" s="247" t="s">
        <v>1122</v>
      </c>
      <c r="C35" s="581">
        <f>E35/D35</f>
        <v>4710.1777777777779</v>
      </c>
      <c r="D35" s="1272">
        <f>'2012'!D35</f>
        <v>0.09</v>
      </c>
      <c r="E35" s="1137">
        <v>423.916</v>
      </c>
      <c r="F35" s="1271">
        <v>6820.2</v>
      </c>
      <c r="G35" s="1272">
        <v>1.61</v>
      </c>
      <c r="H35" s="1274">
        <v>10.967015040986782</v>
      </c>
      <c r="I35" s="520">
        <f>ROUND(($D$35*$F$35*6/1000),1)</f>
        <v>3.7</v>
      </c>
      <c r="J35" s="520">
        <f>ROUND(($E$35*$G$35/1000),1)</f>
        <v>0.7</v>
      </c>
      <c r="K35" s="521">
        <f>I35+J35</f>
        <v>4.4000000000000004</v>
      </c>
      <c r="L35" s="431"/>
      <c r="M35" s="431"/>
      <c r="N35" s="558">
        <f>E35*H35/1000</f>
        <v>4.6490931481149529</v>
      </c>
    </row>
    <row r="36" spans="1:15" ht="46.8">
      <c r="A36" s="1276" t="s">
        <v>325</v>
      </c>
      <c r="B36" s="1277" t="s">
        <v>1078</v>
      </c>
      <c r="C36" s="1278"/>
      <c r="D36" s="1343"/>
      <c r="E36" s="1280"/>
      <c r="F36" s="1281" t="s">
        <v>323</v>
      </c>
      <c r="G36" s="1282" t="s">
        <v>35</v>
      </c>
      <c r="H36" s="1283" t="s">
        <v>35</v>
      </c>
      <c r="I36" s="1284">
        <f>SUM(I37:I39)</f>
        <v>1313.5799634</v>
      </c>
      <c r="J36" s="1285">
        <f>SUM(J37:J39)</f>
        <v>631.82175999999993</v>
      </c>
      <c r="K36" s="1286">
        <f>SUM(K37:K39)</f>
        <v>1945.4017234</v>
      </c>
      <c r="L36" s="1287">
        <f>SUM(L38:L39)</f>
        <v>0</v>
      </c>
      <c r="M36" s="1288">
        <f>SUM(M38:M39)</f>
        <v>0</v>
      </c>
      <c r="N36" s="1286">
        <f>SUM(N37:N39)</f>
        <v>1904.4961968980174</v>
      </c>
    </row>
    <row r="37" spans="1:15" hidden="1">
      <c r="A37" s="306">
        <v>1</v>
      </c>
      <c r="B37" s="247" t="s">
        <v>1111</v>
      </c>
      <c r="C37" s="581">
        <f>E37/D37</f>
        <v>3759.0315662831781</v>
      </c>
      <c r="D37" s="1339">
        <f>$D$24+$D$38+$D$39+$D$32+$D$35+$G$42-$D$33</f>
        <v>2.86</v>
      </c>
      <c r="E37" s="1159">
        <f>$E$24+$E$38+$E$39+$E$32+$E$35+$E$42-$E$33</f>
        <v>10750.830279569889</v>
      </c>
      <c r="F37" s="571"/>
      <c r="G37" s="572"/>
      <c r="H37" s="1289">
        <v>0</v>
      </c>
      <c r="I37" s="1261">
        <f>$D$37*$F$37*12/1000</f>
        <v>0</v>
      </c>
      <c r="J37" s="1262">
        <f>$E$37*$G$37/1000</f>
        <v>0</v>
      </c>
      <c r="K37" s="1263">
        <f>I37+J37</f>
        <v>0</v>
      </c>
      <c r="L37" s="1264"/>
      <c r="M37" s="1262"/>
      <c r="N37" s="1263">
        <f>E37*H37/1000</f>
        <v>0</v>
      </c>
    </row>
    <row r="38" spans="1:15" ht="16.2">
      <c r="A38" s="306">
        <v>1</v>
      </c>
      <c r="B38" s="247" t="s">
        <v>1123</v>
      </c>
      <c r="C38" s="581">
        <f>E38/D38</f>
        <v>4146.7889908256875</v>
      </c>
      <c r="D38" s="1344">
        <f>'2012'!D38</f>
        <v>1.0900000000000001</v>
      </c>
      <c r="E38" s="1239">
        <v>4520</v>
      </c>
      <c r="F38" s="292">
        <v>181738.41</v>
      </c>
      <c r="G38" s="293">
        <v>125.28</v>
      </c>
      <c r="H38" s="1270">
        <v>377.63014891719746</v>
      </c>
      <c r="I38" s="1261">
        <f>$D38*$F38*6/1000</f>
        <v>1188.5692014000001</v>
      </c>
      <c r="J38" s="1262">
        <f>$E38*$G38/1000</f>
        <v>566.26559999999995</v>
      </c>
      <c r="K38" s="1263">
        <f>I38+J38</f>
        <v>1754.8348014000001</v>
      </c>
      <c r="L38" s="1264"/>
      <c r="M38" s="1262"/>
      <c r="N38" s="1263">
        <f>E38*H38/1000</f>
        <v>1706.8882731057327</v>
      </c>
    </row>
    <row r="39" spans="1:15" ht="32.25" customHeight="1" thickBot="1">
      <c r="A39" s="307">
        <v>2</v>
      </c>
      <c r="B39" s="1240" t="s">
        <v>1120</v>
      </c>
      <c r="C39" s="582">
        <f>E39/D39</f>
        <v>3490</v>
      </c>
      <c r="D39" s="1345">
        <f>'2012'!D39</f>
        <v>0.1</v>
      </c>
      <c r="E39" s="562">
        <v>349</v>
      </c>
      <c r="F39" s="372">
        <v>208351.27</v>
      </c>
      <c r="G39" s="373">
        <v>187.84</v>
      </c>
      <c r="H39" s="1269">
        <v>566.21181602373883</v>
      </c>
      <c r="I39" s="1265">
        <f>$D$39*$F$39*6/1000</f>
        <v>125.010762</v>
      </c>
      <c r="J39" s="1266">
        <f>$E$39*$G$39/1000</f>
        <v>65.556160000000006</v>
      </c>
      <c r="K39" s="1267">
        <f>I39+J39</f>
        <v>190.56692200000001</v>
      </c>
      <c r="L39" s="579"/>
      <c r="M39" s="580"/>
      <c r="N39" s="1268">
        <f>E39*H39/1000</f>
        <v>197.60792379228485</v>
      </c>
    </row>
    <row r="40" spans="1:15" hidden="1">
      <c r="F40" s="78"/>
      <c r="G40" s="78"/>
      <c r="H40" s="78"/>
      <c r="L40" s="13"/>
      <c r="M40" s="13"/>
      <c r="N40" s="13"/>
    </row>
    <row r="41" spans="1:15">
      <c r="B41" s="44" t="s">
        <v>257</v>
      </c>
      <c r="C41" s="44"/>
      <c r="L41" s="13"/>
      <c r="M41" s="13"/>
      <c r="N41" s="13"/>
    </row>
    <row r="42" spans="1:15">
      <c r="D42" s="44" t="s">
        <v>1082</v>
      </c>
      <c r="E42" s="794">
        <f>(E24+E32+E35+E38+E39)/(1-7/100)*7/100</f>
        <v>770.63827956989246</v>
      </c>
      <c r="F42" s="13" t="s">
        <v>326</v>
      </c>
      <c r="G42" s="13">
        <v>0.21</v>
      </c>
      <c r="H42" s="1338">
        <f>E42/(E34+E33)</f>
        <v>7.0000000000000021E-2</v>
      </c>
      <c r="L42" s="13"/>
      <c r="M42" s="13"/>
      <c r="N42" s="13"/>
    </row>
    <row r="43" spans="1:15">
      <c r="D43" s="44" t="s">
        <v>327</v>
      </c>
      <c r="E43" s="1337">
        <f>2216.76/1566.09*1000</f>
        <v>1415.4742064632301</v>
      </c>
      <c r="F43" s="13" t="s">
        <v>328</v>
      </c>
      <c r="L43" s="13"/>
      <c r="M43" s="13"/>
      <c r="N43" s="13"/>
    </row>
    <row r="44" spans="1:15" hidden="1"/>
    <row r="45" spans="1:15" hidden="1">
      <c r="E45" s="13" t="s">
        <v>328</v>
      </c>
      <c r="G45" s="377" t="s">
        <v>623</v>
      </c>
      <c r="H45" s="377"/>
      <c r="I45" s="377"/>
      <c r="J45" s="377"/>
      <c r="K45" s="377"/>
    </row>
    <row r="46" spans="1:15" hidden="1">
      <c r="E46" s="384"/>
      <c r="F46" s="383"/>
      <c r="G46" s="378" t="s">
        <v>322</v>
      </c>
      <c r="H46" s="378"/>
      <c r="I46" s="378"/>
      <c r="J46" s="382" t="s">
        <v>509</v>
      </c>
      <c r="K46" s="382"/>
      <c r="L46" s="13"/>
      <c r="M46" s="13"/>
      <c r="N46" s="13"/>
      <c r="O46" s="309"/>
    </row>
    <row r="47" spans="1:15" ht="27" hidden="1">
      <c r="E47" s="384"/>
      <c r="F47" s="383"/>
      <c r="G47" s="379" t="s">
        <v>323</v>
      </c>
      <c r="H47" s="379" t="s">
        <v>35</v>
      </c>
      <c r="I47" s="380" t="s">
        <v>508</v>
      </c>
      <c r="J47" s="377"/>
      <c r="K47" s="377"/>
      <c r="L47" s="13"/>
      <c r="M47" s="13"/>
      <c r="N47" s="13"/>
      <c r="O47" s="310"/>
    </row>
    <row r="48" spans="1:15" hidden="1">
      <c r="E48" s="384"/>
      <c r="F48" s="383"/>
      <c r="G48" s="125"/>
      <c r="H48" s="125"/>
      <c r="I48" s="125"/>
      <c r="J48" s="377"/>
      <c r="K48" s="377"/>
      <c r="L48" s="13"/>
      <c r="M48" s="13"/>
      <c r="N48" s="13"/>
      <c r="O48" s="309"/>
    </row>
    <row r="49" spans="2:14" hidden="1">
      <c r="E49" s="384"/>
      <c r="F49" s="383" t="s">
        <v>624</v>
      </c>
      <c r="G49" s="125"/>
      <c r="H49" s="125"/>
      <c r="I49" s="125"/>
      <c r="J49" s="377"/>
      <c r="K49" s="377"/>
    </row>
    <row r="50" spans="2:14" hidden="1">
      <c r="E50" s="384"/>
      <c r="F50" s="383" t="s">
        <v>324</v>
      </c>
      <c r="G50" s="381"/>
      <c r="H50" s="381"/>
      <c r="I50" s="381"/>
      <c r="J50" s="377"/>
      <c r="K50" s="381"/>
    </row>
    <row r="51" spans="2:14" hidden="1">
      <c r="E51" s="384"/>
      <c r="F51" s="383" t="s">
        <v>350</v>
      </c>
      <c r="G51" s="381"/>
      <c r="H51" s="381"/>
      <c r="I51" s="381"/>
      <c r="J51" s="377"/>
      <c r="K51" s="381"/>
    </row>
    <row r="52" spans="2:14" hidden="1">
      <c r="E52" s="384"/>
      <c r="F52" s="383" t="s">
        <v>621</v>
      </c>
      <c r="G52" s="381"/>
      <c r="H52" s="381"/>
      <c r="I52" s="381"/>
      <c r="J52" s="377"/>
      <c r="K52" s="381"/>
    </row>
    <row r="53" spans="2:14" hidden="1">
      <c r="E53" s="384"/>
      <c r="F53" s="383" t="s">
        <v>186</v>
      </c>
      <c r="G53" s="381"/>
      <c r="H53" s="381"/>
      <c r="I53" s="381"/>
      <c r="J53" s="377"/>
      <c r="K53" s="381"/>
    </row>
    <row r="54" spans="2:14" hidden="1"/>
    <row r="55" spans="2:14" hidden="1"/>
    <row r="56" spans="2:14" hidden="1">
      <c r="K56" s="78"/>
      <c r="L56" s="13"/>
      <c r="M56" s="13"/>
      <c r="N56" s="13"/>
    </row>
    <row r="57" spans="2:14" hidden="1"/>
    <row r="58" spans="2:14" hidden="1"/>
    <row r="59" spans="2:14" ht="12.75" customHeight="1">
      <c r="B59" s="4" t="s">
        <v>1115</v>
      </c>
      <c r="C59" s="4"/>
      <c r="D59" s="4"/>
      <c r="E59" s="4"/>
      <c r="F59" s="4"/>
      <c r="G59" s="100"/>
      <c r="H59" s="101"/>
    </row>
    <row r="60" spans="2:14">
      <c r="B60" s="1987" t="s">
        <v>242</v>
      </c>
      <c r="C60" s="6"/>
      <c r="D60" s="6"/>
      <c r="E60" s="2000" t="s">
        <v>243</v>
      </c>
      <c r="F60" s="17" t="s">
        <v>244</v>
      </c>
      <c r="G60" s="1987" t="s">
        <v>245</v>
      </c>
      <c r="H60" s="4"/>
    </row>
    <row r="61" spans="2:14" ht="66.599999999999994">
      <c r="B61" s="1999"/>
      <c r="C61" s="11"/>
      <c r="D61" s="11"/>
      <c r="E61" s="2001"/>
      <c r="F61" s="17" t="s">
        <v>246</v>
      </c>
      <c r="G61" s="1988"/>
      <c r="H61" s="4"/>
    </row>
    <row r="62" spans="2:14" ht="16.8">
      <c r="B62" s="1999"/>
      <c r="C62" s="11"/>
      <c r="D62" s="11"/>
      <c r="E62" s="81" t="s">
        <v>247</v>
      </c>
      <c r="F62" s="81" t="s">
        <v>248</v>
      </c>
      <c r="G62" s="9"/>
      <c r="H62" s="101" t="s">
        <v>241</v>
      </c>
    </row>
    <row r="63" spans="2:14" ht="15.75" customHeight="1">
      <c r="B63" s="1988"/>
      <c r="C63" s="7"/>
      <c r="D63" s="7"/>
      <c r="E63" s="9" t="s">
        <v>44</v>
      </c>
      <c r="F63" s="9" t="s">
        <v>249</v>
      </c>
      <c r="G63" s="9" t="s">
        <v>249</v>
      </c>
      <c r="H63" s="100"/>
    </row>
    <row r="64" spans="2:14">
      <c r="B64" s="9" t="s">
        <v>226</v>
      </c>
      <c r="C64" s="538"/>
      <c r="D64" s="538"/>
      <c r="E64" s="191">
        <f>'1 И 2 ПОЛУГОДИЕ 2012'!B53</f>
        <v>364484.63</v>
      </c>
      <c r="F64" s="191">
        <f>'1 И 2 ПОЛУГОДИЕ 2012'!D53</f>
        <v>151.36000000000001</v>
      </c>
      <c r="G64" s="191">
        <f>'1 И 2 ПОЛУГОДИЕ 2012'!F53</f>
        <v>671</v>
      </c>
      <c r="H64" s="540">
        <f>(E64*12/(G64-F64))</f>
        <v>8417.0109306442937</v>
      </c>
    </row>
    <row r="65" spans="2:8">
      <c r="B65" s="9" t="s">
        <v>211</v>
      </c>
      <c r="C65" s="9"/>
      <c r="D65" s="1163"/>
      <c r="E65" s="191">
        <f>'1 И 2 ПОЛУГОДИЕ 2012'!B54</f>
        <v>684381.17</v>
      </c>
      <c r="F65" s="191">
        <f>'1 И 2 ПОЛУГОДИЕ 2012'!D54</f>
        <v>162.12</v>
      </c>
      <c r="G65" s="191">
        <f>'1 И 2 ПОЛУГОДИЕ 2012'!F54</f>
        <v>1153.6500000000001</v>
      </c>
      <c r="H65" s="100">
        <f>(E65*12/(G65-F65))</f>
        <v>8282.7287525339634</v>
      </c>
    </row>
    <row r="66" spans="2:8">
      <c r="B66" s="17" t="s">
        <v>253</v>
      </c>
      <c r="C66" s="17"/>
      <c r="D66" s="1225"/>
      <c r="E66" s="191">
        <f>'1 И 2 ПОЛУГОДИЕ 2012'!B55</f>
        <v>942948.34</v>
      </c>
      <c r="F66" s="191">
        <f>'1 И 2 ПОЛУГОДИЕ 2012'!D55</f>
        <v>414.16</v>
      </c>
      <c r="G66" s="191">
        <f>'1 И 2 ПОЛУГОДИЕ 2012'!F55</f>
        <v>1847.1</v>
      </c>
      <c r="H66" s="100">
        <f>(E66*12/(G66-F66))</f>
        <v>7896.6181975518875</v>
      </c>
    </row>
    <row r="67" spans="2:8">
      <c r="B67" s="9" t="s">
        <v>215</v>
      </c>
      <c r="C67" s="538"/>
      <c r="D67" s="538"/>
      <c r="E67" s="191">
        <f>'1 И 2 ПОЛУГОДИЕ 2012'!B56</f>
        <v>1640145.12</v>
      </c>
      <c r="F67" s="191">
        <f>'1 И 2 ПОЛУГОДИЕ 2012'!D56</f>
        <v>472.06</v>
      </c>
      <c r="G67" s="191">
        <f>'1 И 2 ПОЛУГОДИЕ 2012'!F56</f>
        <v>2747.68</v>
      </c>
      <c r="H67" s="540">
        <f>(E67*12/(G67-F67))</f>
        <v>8648.9578400611717</v>
      </c>
    </row>
    <row r="68" spans="2:8">
      <c r="B68" s="341" t="s">
        <v>352</v>
      </c>
      <c r="C68" s="341"/>
      <c r="D68" s="1226"/>
      <c r="E68" s="191"/>
      <c r="F68" s="191"/>
      <c r="G68" s="191">
        <f>'1 И 2 ПОЛУГОДИЕ 2012'!F57</f>
        <v>437.28</v>
      </c>
      <c r="H68" s="196">
        <f>(E68*12/(G68-F68))</f>
        <v>0</v>
      </c>
    </row>
    <row r="69" spans="2:8">
      <c r="B69" s="47"/>
      <c r="C69" s="47"/>
      <c r="D69" s="47"/>
      <c r="E69" s="47"/>
      <c r="F69" s="47"/>
      <c r="G69" s="47"/>
      <c r="H69" s="47"/>
    </row>
  </sheetData>
  <mergeCells count="14">
    <mergeCell ref="B6:B9"/>
    <mergeCell ref="D6:D7"/>
    <mergeCell ref="E6:E7"/>
    <mergeCell ref="F6:F7"/>
    <mergeCell ref="A15:A17"/>
    <mergeCell ref="B15:B17"/>
    <mergeCell ref="D15:E16"/>
    <mergeCell ref="G60:G61"/>
    <mergeCell ref="A22:A23"/>
    <mergeCell ref="B22:E23"/>
    <mergeCell ref="A30:A31"/>
    <mergeCell ref="B30:B31"/>
    <mergeCell ref="B60:B63"/>
    <mergeCell ref="E60:E61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69"/>
  <sheetViews>
    <sheetView topLeftCell="A19" zoomScaleNormal="100" workbookViewId="0">
      <selection activeCell="K8" sqref="K8"/>
    </sheetView>
  </sheetViews>
  <sheetFormatPr defaultColWidth="9.109375" defaultRowHeight="15.6"/>
  <cols>
    <col min="1" max="1" width="6" style="13" customWidth="1"/>
    <col min="2" max="2" width="42.6640625" style="13" customWidth="1"/>
    <col min="3" max="3" width="7.6640625" style="13" customWidth="1"/>
    <col min="4" max="4" width="11.109375" style="13" customWidth="1"/>
    <col min="5" max="5" width="12.44140625" style="13" customWidth="1"/>
    <col min="6" max="6" width="12.88671875" style="13" customWidth="1"/>
    <col min="7" max="7" width="12.44140625" style="13" customWidth="1"/>
    <col min="8" max="8" width="11" style="13" customWidth="1"/>
    <col min="9" max="9" width="13.109375" style="13" customWidth="1"/>
    <col min="10" max="10" width="10.44140625" style="13" customWidth="1"/>
    <col min="11" max="11" width="12" style="13" customWidth="1"/>
    <col min="12" max="13" width="11.5546875" style="78" customWidth="1"/>
    <col min="14" max="14" width="12.5546875" style="78" bestFit="1" customWidth="1"/>
    <col min="15" max="15" width="9.109375" style="13"/>
    <col min="16" max="16" width="10.44140625" style="13" customWidth="1"/>
    <col min="17" max="18" width="9.109375" style="13"/>
    <col min="19" max="19" width="11.6640625" style="13" customWidth="1"/>
    <col min="20" max="16384" width="9.109375" style="13"/>
  </cols>
  <sheetData>
    <row r="1" spans="1:14">
      <c r="A1" s="49" t="s">
        <v>1129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97"/>
      <c r="M1" s="197"/>
      <c r="N1" s="197"/>
    </row>
    <row r="2" spans="1:14">
      <c r="A2" s="49" t="s">
        <v>628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197"/>
      <c r="M2" s="197"/>
      <c r="N2" s="197"/>
    </row>
    <row r="3" spans="1:14" ht="16.2" thickBot="1">
      <c r="A3" s="1220" t="s">
        <v>1106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197"/>
      <c r="M3" s="197"/>
      <c r="N3" s="197"/>
    </row>
    <row r="4" spans="1:14" ht="16.2" hidden="1" thickBot="1">
      <c r="B4" s="198" t="s">
        <v>286</v>
      </c>
      <c r="C4" s="198"/>
      <c r="D4" s="78"/>
      <c r="E4" s="78"/>
      <c r="F4" s="78"/>
      <c r="G4" s="78"/>
      <c r="H4" s="78"/>
      <c r="I4" s="78"/>
    </row>
    <row r="5" spans="1:14" ht="16.2" hidden="1" thickBot="1">
      <c r="B5" s="78"/>
      <c r="C5" s="78"/>
      <c r="D5" s="78"/>
      <c r="E5" s="78"/>
      <c r="H5" s="78"/>
      <c r="I5" s="78"/>
    </row>
    <row r="6" spans="1:14" ht="27.75" hidden="1" customHeight="1">
      <c r="B6" s="1975" t="s">
        <v>242</v>
      </c>
      <c r="C6" s="527"/>
      <c r="D6" s="2002" t="s">
        <v>243</v>
      </c>
      <c r="E6" s="2002" t="s">
        <v>288</v>
      </c>
      <c r="F6" s="2004" t="s">
        <v>245</v>
      </c>
    </row>
    <row r="7" spans="1:14" ht="48" hidden="1" customHeight="1">
      <c r="B7" s="1976"/>
      <c r="C7" s="528"/>
      <c r="D7" s="2003"/>
      <c r="E7" s="2003"/>
      <c r="F7" s="2004"/>
    </row>
    <row r="8" spans="1:14" ht="18.600000000000001" hidden="1" thickBot="1">
      <c r="B8" s="1976"/>
      <c r="C8" s="528"/>
      <c r="D8" s="199" t="s">
        <v>289</v>
      </c>
      <c r="E8" s="199" t="s">
        <v>290</v>
      </c>
      <c r="F8" s="35"/>
    </row>
    <row r="9" spans="1:14" ht="31.8" hidden="1" thickBot="1">
      <c r="B9" s="1977"/>
      <c r="C9" s="529"/>
      <c r="D9" s="35" t="s">
        <v>44</v>
      </c>
      <c r="E9" s="35" t="s">
        <v>35</v>
      </c>
      <c r="F9" s="35" t="s">
        <v>35</v>
      </c>
      <c r="G9" s="198" t="s">
        <v>241</v>
      </c>
    </row>
    <row r="10" spans="1:14" ht="16.2" hidden="1" thickBot="1">
      <c r="B10" s="35" t="s">
        <v>226</v>
      </c>
      <c r="C10" s="35"/>
      <c r="D10" s="200">
        <v>300621.82</v>
      </c>
      <c r="E10" s="200">
        <v>176.8</v>
      </c>
      <c r="F10" s="201">
        <v>592.41</v>
      </c>
      <c r="G10" s="202">
        <f>(D10*12/(F10-E10))</f>
        <v>8679.9206948822211</v>
      </c>
    </row>
    <row r="11" spans="1:14" ht="16.2" hidden="1" thickBot="1">
      <c r="B11" s="35" t="s">
        <v>211</v>
      </c>
      <c r="C11" s="35"/>
      <c r="D11" s="200">
        <v>490793.23</v>
      </c>
      <c r="E11" s="200">
        <v>180</v>
      </c>
      <c r="F11" s="201">
        <v>969.48</v>
      </c>
      <c r="G11" s="202">
        <f>(D11*12/(F11-E11))</f>
        <v>7459.9974160206712</v>
      </c>
      <c r="H11" s="203"/>
      <c r="I11" s="204"/>
      <c r="L11" s="205"/>
    </row>
    <row r="12" spans="1:14" ht="16.2" hidden="1" thickBot="1">
      <c r="B12" s="206" t="s">
        <v>253</v>
      </c>
      <c r="C12" s="206"/>
      <c r="D12" s="200">
        <v>680321</v>
      </c>
      <c r="E12" s="200">
        <v>210</v>
      </c>
      <c r="F12" s="201">
        <v>1441.35</v>
      </c>
      <c r="G12" s="202">
        <f>(D12*12/(F12-E12))</f>
        <v>6630.0012181751745</v>
      </c>
      <c r="H12" s="44" t="s">
        <v>291</v>
      </c>
    </row>
    <row r="13" spans="1:14" ht="16.2" hidden="1" thickBot="1">
      <c r="B13" s="35" t="s">
        <v>215</v>
      </c>
      <c r="C13" s="35"/>
      <c r="D13" s="200">
        <v>851305.82</v>
      </c>
      <c r="E13" s="200">
        <v>432</v>
      </c>
      <c r="F13" s="201">
        <v>2296.17</v>
      </c>
      <c r="G13" s="202">
        <f>(D13*12/(F13-E13))</f>
        <v>5480.0097845153605</v>
      </c>
      <c r="H13" s="207">
        <f>(365-53)*16</f>
        <v>4992</v>
      </c>
      <c r="I13" s="13" t="s">
        <v>285</v>
      </c>
      <c r="L13" s="78" t="s">
        <v>285</v>
      </c>
    </row>
    <row r="14" spans="1:14" ht="16.2" hidden="1" thickBot="1">
      <c r="B14" s="39"/>
      <c r="C14" s="39"/>
      <c r="D14" s="208"/>
      <c r="E14" s="208"/>
      <c r="F14" s="209"/>
      <c r="G14" s="202"/>
      <c r="H14" s="207"/>
    </row>
    <row r="15" spans="1:14" ht="16.2" thickBot="1">
      <c r="A15" s="2005"/>
      <c r="B15" s="2008" t="s">
        <v>292</v>
      </c>
      <c r="C15" s="531"/>
      <c r="D15" s="2011" t="s">
        <v>293</v>
      </c>
      <c r="E15" s="2012"/>
      <c r="F15" s="210" t="s">
        <v>294</v>
      </c>
      <c r="G15" s="211"/>
      <c r="H15" s="212"/>
      <c r="I15" s="213" t="s">
        <v>1128</v>
      </c>
      <c r="J15" s="214"/>
      <c r="K15" s="214"/>
      <c r="L15" s="215"/>
      <c r="M15" s="216"/>
      <c r="N15" s="217"/>
    </row>
    <row r="16" spans="1:14" ht="27.6">
      <c r="A16" s="2006"/>
      <c r="B16" s="2009"/>
      <c r="C16" s="559"/>
      <c r="D16" s="2013"/>
      <c r="E16" s="2014"/>
      <c r="F16" s="218" t="s">
        <v>296</v>
      </c>
      <c r="G16" s="219"/>
      <c r="H16" s="220" t="s">
        <v>297</v>
      </c>
      <c r="I16" s="221" t="s">
        <v>1113</v>
      </c>
      <c r="J16" s="222"/>
      <c r="K16" s="223"/>
      <c r="L16" s="604" t="s">
        <v>349</v>
      </c>
      <c r="M16" s="224"/>
      <c r="N16" s="1145"/>
    </row>
    <row r="17" spans="1:19" s="233" customFormat="1" ht="80.25" customHeight="1">
      <c r="A17" s="2007"/>
      <c r="B17" s="2010"/>
      <c r="C17" s="530"/>
      <c r="D17" s="79" t="s">
        <v>299</v>
      </c>
      <c r="E17" s="225" t="s">
        <v>300</v>
      </c>
      <c r="F17" s="226" t="s">
        <v>301</v>
      </c>
      <c r="G17" s="9" t="s">
        <v>302</v>
      </c>
      <c r="H17" s="227" t="s">
        <v>303</v>
      </c>
      <c r="I17" s="228" t="s">
        <v>304</v>
      </c>
      <c r="J17" s="79" t="s">
        <v>305</v>
      </c>
      <c r="K17" s="229" t="s">
        <v>103</v>
      </c>
      <c r="L17" s="230" t="s">
        <v>626</v>
      </c>
      <c r="M17" s="231" t="s">
        <v>305</v>
      </c>
      <c r="N17" s="232" t="s">
        <v>103</v>
      </c>
    </row>
    <row r="18" spans="1:19" s="245" customFormat="1" ht="28.5" customHeight="1">
      <c r="A18" s="234">
        <v>1</v>
      </c>
      <c r="B18" s="235">
        <v>2</v>
      </c>
      <c r="C18" s="235"/>
      <c r="D18" s="236">
        <v>3</v>
      </c>
      <c r="E18" s="237">
        <v>4</v>
      </c>
      <c r="F18" s="238">
        <v>5</v>
      </c>
      <c r="G18" s="236">
        <v>6</v>
      </c>
      <c r="H18" s="239">
        <v>7</v>
      </c>
      <c r="I18" s="240" t="s">
        <v>306</v>
      </c>
      <c r="J18" s="241" t="s">
        <v>307</v>
      </c>
      <c r="K18" s="242" t="s">
        <v>308</v>
      </c>
      <c r="L18" s="238">
        <v>11</v>
      </c>
      <c r="M18" s="236">
        <v>12</v>
      </c>
      <c r="N18" s="239">
        <v>13</v>
      </c>
      <c r="O18" s="243" t="s">
        <v>309</v>
      </c>
      <c r="P18" s="244"/>
      <c r="Q18" s="1308"/>
      <c r="R18" s="1309"/>
      <c r="S18" s="445"/>
    </row>
    <row r="19" spans="1:19" ht="27.6">
      <c r="A19" s="246" t="s">
        <v>310</v>
      </c>
      <c r="B19" s="183" t="s">
        <v>311</v>
      </c>
      <c r="C19" s="183"/>
      <c r="D19" s="247"/>
      <c r="E19" s="248"/>
      <c r="F19" s="249"/>
      <c r="G19" s="247"/>
      <c r="H19" s="1295"/>
      <c r="I19" s="1296">
        <f>'2012'!I19/2</f>
        <v>1372.4</v>
      </c>
      <c r="J19" s="1297">
        <f>E42*E43/1000</f>
        <v>1125.9355025565005</v>
      </c>
      <c r="K19" s="1298">
        <f>ROUND((I19+J19),1)</f>
        <v>2498.3000000000002</v>
      </c>
      <c r="L19" s="1241" t="s">
        <v>1150</v>
      </c>
      <c r="M19" s="1242"/>
      <c r="N19" s="256">
        <f>N23-N31+N36</f>
        <v>2446.8263114449855</v>
      </c>
      <c r="O19" s="243">
        <f>$E$42*$E$43/1000</f>
        <v>1125.9355025565005</v>
      </c>
      <c r="Q19" s="1308"/>
      <c r="R19" s="445"/>
      <c r="S19" s="1310"/>
    </row>
    <row r="20" spans="1:19" ht="43.5" customHeight="1" thickBot="1">
      <c r="A20" s="257"/>
      <c r="B20" s="247" t="s">
        <v>312</v>
      </c>
      <c r="C20" s="247"/>
      <c r="D20" s="247"/>
      <c r="E20" s="248"/>
      <c r="F20" s="258"/>
      <c r="G20" s="259"/>
      <c r="H20" s="260"/>
      <c r="I20" s="577">
        <f>I23+I36-I31</f>
        <v>2362.6166695999991</v>
      </c>
      <c r="J20" s="261">
        <f>ROUND((J23+J36-J31),1)</f>
        <v>1584</v>
      </c>
      <c r="K20" s="253">
        <f>ROUND((I20+J20),1)</f>
        <v>3946.6</v>
      </c>
      <c r="L20" s="1241" t="s">
        <v>1116</v>
      </c>
      <c r="M20" s="1242"/>
      <c r="N20" s="1290">
        <f>N23-K31+N36</f>
        <v>2531.638184281981</v>
      </c>
      <c r="P20" s="1291">
        <f>N20-J20</f>
        <v>947.63818428198101</v>
      </c>
      <c r="Q20" s="243">
        <f>'1п-е 2012'!P20+'2п-е 2012'!P20</f>
        <v>1899.2355834599982</v>
      </c>
    </row>
    <row r="21" spans="1:19" ht="1.5" hidden="1" customHeight="1">
      <c r="A21" s="264"/>
      <c r="B21" s="265" t="s">
        <v>313</v>
      </c>
      <c r="C21" s="265"/>
      <c r="D21" s="265"/>
      <c r="E21" s="266"/>
      <c r="F21" s="267"/>
      <c r="G21" s="268"/>
      <c r="H21" s="269"/>
      <c r="I21" s="270">
        <f>K19-K20</f>
        <v>-1448.2999999999997</v>
      </c>
      <c r="J21" s="271"/>
      <c r="K21" s="272"/>
      <c r="L21" s="273"/>
      <c r="M21" s="274"/>
      <c r="N21" s="275"/>
    </row>
    <row r="22" spans="1:19" ht="15.75" customHeight="1">
      <c r="A22" s="1989" t="s">
        <v>314</v>
      </c>
      <c r="B22" s="1991" t="s">
        <v>1076</v>
      </c>
      <c r="C22" s="1992"/>
      <c r="D22" s="1993"/>
      <c r="E22" s="1993"/>
      <c r="F22" s="276"/>
      <c r="G22" s="277"/>
      <c r="H22" s="278"/>
      <c r="I22" s="279" t="s">
        <v>315</v>
      </c>
      <c r="J22" s="280"/>
      <c r="K22" s="281"/>
      <c r="L22" s="282" t="s">
        <v>316</v>
      </c>
      <c r="M22" s="280"/>
      <c r="N22" s="283"/>
    </row>
    <row r="23" spans="1:19" ht="24" customHeight="1">
      <c r="A23" s="1990"/>
      <c r="B23" s="1994"/>
      <c r="C23" s="1995"/>
      <c r="D23" s="1995"/>
      <c r="E23" s="1995"/>
      <c r="F23" s="284"/>
      <c r="G23" s="285"/>
      <c r="H23" s="286"/>
      <c r="I23" s="287">
        <f>SUM(I25:I29)</f>
        <v>6167.1556763999997</v>
      </c>
      <c r="J23" s="288">
        <f>SUM(J25:J29)</f>
        <v>1474.7456235</v>
      </c>
      <c r="K23" s="289">
        <f>I23+J23</f>
        <v>7641.9012998999997</v>
      </c>
      <c r="L23" s="262"/>
      <c r="M23" s="181"/>
      <c r="N23" s="289">
        <f>SUM(N25:N29)</f>
        <v>6180.9999999999991</v>
      </c>
      <c r="O23" s="564">
        <f>N23-K23</f>
        <v>-1460.9012999000006</v>
      </c>
      <c r="P23" s="578">
        <f>N19-K20</f>
        <v>-1499.7736885550144</v>
      </c>
    </row>
    <row r="24" spans="1:19" ht="27.75" customHeight="1">
      <c r="A24" s="249"/>
      <c r="B24" s="247" t="s">
        <v>317</v>
      </c>
      <c r="C24" s="560" t="s">
        <v>616</v>
      </c>
      <c r="D24" s="1272">
        <f>SUM(D25:D29)</f>
        <v>1.3699999999999999</v>
      </c>
      <c r="E24" s="1138">
        <f>SUM(E25:E29)</f>
        <v>4693.4000000000005</v>
      </c>
      <c r="F24" s="249"/>
      <c r="G24" s="247"/>
      <c r="H24" s="250"/>
      <c r="I24" s="287"/>
      <c r="J24" s="288"/>
      <c r="K24" s="289"/>
      <c r="L24" s="262"/>
      <c r="M24" s="181"/>
      <c r="N24" s="289"/>
    </row>
    <row r="25" spans="1:19">
      <c r="A25" s="257"/>
      <c r="B25" s="291" t="s">
        <v>1075</v>
      </c>
      <c r="C25" s="1154">
        <f>E25/D25</f>
        <v>3573.0350877192986</v>
      </c>
      <c r="D25" s="1272">
        <f>'2012'!D25</f>
        <v>0.56999999999999995</v>
      </c>
      <c r="E25" s="1138">
        <f>2036.63</f>
        <v>2036.63</v>
      </c>
      <c r="F25" s="292">
        <f>E64</f>
        <v>397387.35</v>
      </c>
      <c r="G25" s="293">
        <f>F64</f>
        <v>158.29</v>
      </c>
      <c r="H25" s="294">
        <f>G64</f>
        <v>690.41</v>
      </c>
      <c r="I25" s="520">
        <f>D25*F25*6/1000</f>
        <v>1359.0647369999997</v>
      </c>
      <c r="J25" s="520">
        <f>E25*G25/1000</f>
        <v>322.37816269999996</v>
      </c>
      <c r="K25" s="521">
        <f>I25+J25</f>
        <v>1681.4428996999995</v>
      </c>
      <c r="L25" s="1141"/>
      <c r="M25" s="520"/>
      <c r="N25" s="521">
        <f>ROUND((E25*H25/1000),1)</f>
        <v>1406.1</v>
      </c>
      <c r="O25" s="1230">
        <f>'2012г.об.под факт2010'!N23-'2п-е 2012'!N23</f>
        <v>9369.7999999999993</v>
      </c>
    </row>
    <row r="26" spans="1:19">
      <c r="A26" s="257"/>
      <c r="B26" s="291" t="s">
        <v>318</v>
      </c>
      <c r="C26" s="1154">
        <f>E26/D26</f>
        <v>3347.3466666666668</v>
      </c>
      <c r="D26" s="1272">
        <f>'2012'!D26</f>
        <v>0.75</v>
      </c>
      <c r="E26" s="1138">
        <f>2510.51</f>
        <v>2510.5100000000002</v>
      </c>
      <c r="F26" s="292">
        <f t="shared" ref="F26:H27" si="0">E66</f>
        <v>1021368.45</v>
      </c>
      <c r="G26" s="293">
        <f t="shared" si="0"/>
        <v>432.48</v>
      </c>
      <c r="H26" s="294">
        <f t="shared" si="0"/>
        <v>1817.25</v>
      </c>
      <c r="I26" s="520">
        <f>D26*F26*6/1000</f>
        <v>4596.1580249999997</v>
      </c>
      <c r="J26" s="520">
        <f>E26*G26/1000</f>
        <v>1085.7453648000001</v>
      </c>
      <c r="K26" s="521">
        <f>I26+J26</f>
        <v>5681.9033897999998</v>
      </c>
      <c r="L26" s="1141"/>
      <c r="M26" s="520"/>
      <c r="N26" s="521">
        <f>ROUND((E26*H26/1000),1)</f>
        <v>4562.2</v>
      </c>
      <c r="O26" s="1231" t="s">
        <v>1105</v>
      </c>
    </row>
    <row r="27" spans="1:19">
      <c r="A27" s="257"/>
      <c r="B27" s="295" t="s">
        <v>1074</v>
      </c>
      <c r="C27" s="1154">
        <f>E27/D27</f>
        <v>3329.9999999999995</v>
      </c>
      <c r="D27" s="1346">
        <f>'2012'!D27</f>
        <v>0.02</v>
      </c>
      <c r="E27" s="1138">
        <f>66.6</f>
        <v>66.599999999999994</v>
      </c>
      <c r="F27" s="292">
        <f t="shared" si="0"/>
        <v>1766107.62</v>
      </c>
      <c r="G27" s="293">
        <f t="shared" si="0"/>
        <v>495.34</v>
      </c>
      <c r="H27" s="294">
        <f t="shared" si="0"/>
        <v>2688.41</v>
      </c>
      <c r="I27" s="520">
        <f>D27*F27*6/1000</f>
        <v>211.93291440000004</v>
      </c>
      <c r="J27" s="520">
        <f>E27*G27/1000</f>
        <v>32.989643999999991</v>
      </c>
      <c r="K27" s="521">
        <f>I27+J27</f>
        <v>244.92255840000004</v>
      </c>
      <c r="L27" s="1141"/>
      <c r="M27" s="520"/>
      <c r="N27" s="521">
        <f>ROUND((E27*H27/1000),1)</f>
        <v>179</v>
      </c>
    </row>
    <row r="28" spans="1:19" s="358" customFormat="1" ht="28.2">
      <c r="A28" s="257"/>
      <c r="B28" s="295" t="s">
        <v>1073</v>
      </c>
      <c r="C28" s="1154" t="e">
        <f>E28/D28</f>
        <v>#DIV/0!</v>
      </c>
      <c r="D28" s="1272">
        <f>'2012'!D28</f>
        <v>0</v>
      </c>
      <c r="E28" s="1138">
        <f>8.95</f>
        <v>8.9499999999999993</v>
      </c>
      <c r="F28" s="292"/>
      <c r="G28" s="293"/>
      <c r="H28" s="294">
        <f>G68</f>
        <v>422.2</v>
      </c>
      <c r="I28" s="520">
        <f>D28*F28*6/1000</f>
        <v>0</v>
      </c>
      <c r="J28" s="520">
        <f>K28</f>
        <v>3.7786899999999997</v>
      </c>
      <c r="K28" s="521">
        <f>E28*H28/1000</f>
        <v>3.7786899999999997</v>
      </c>
      <c r="L28" s="1141"/>
      <c r="M28" s="520"/>
      <c r="N28" s="521">
        <f>ROUND((E28*H28/1000),1)</f>
        <v>3.8</v>
      </c>
    </row>
    <row r="29" spans="1:19" s="358" customFormat="1" ht="28.8" thickBot="1">
      <c r="A29" s="368"/>
      <c r="B29" s="295" t="s">
        <v>319</v>
      </c>
      <c r="C29" s="582">
        <f>E29/D29</f>
        <v>2357</v>
      </c>
      <c r="D29" s="1345">
        <f>'2012'!D29</f>
        <v>0.03</v>
      </c>
      <c r="E29" s="297">
        <f>70.71</f>
        <v>70.709999999999994</v>
      </c>
      <c r="F29" s="372"/>
      <c r="G29" s="373"/>
      <c r="H29" s="374">
        <f>H28</f>
        <v>422.2</v>
      </c>
      <c r="I29" s="298"/>
      <c r="J29" s="299">
        <f>K29</f>
        <v>29.853761999999996</v>
      </c>
      <c r="K29" s="300">
        <f>H29*E29/1000</f>
        <v>29.853761999999996</v>
      </c>
      <c r="L29" s="298"/>
      <c r="M29" s="1142"/>
      <c r="N29" s="300">
        <f>ROUND((E29*H29/1000),1)</f>
        <v>29.9</v>
      </c>
      <c r="O29" s="13"/>
    </row>
    <row r="30" spans="1:19" ht="16.5" customHeight="1">
      <c r="A30" s="1996" t="s">
        <v>320</v>
      </c>
      <c r="B30" s="1997" t="s">
        <v>1077</v>
      </c>
      <c r="C30" s="1155"/>
      <c r="D30" s="1347" t="s">
        <v>321</v>
      </c>
      <c r="E30" s="332"/>
      <c r="F30" s="334" t="s">
        <v>322</v>
      </c>
      <c r="G30" s="301"/>
      <c r="H30" s="301"/>
      <c r="I30" s="302" t="s">
        <v>315</v>
      </c>
      <c r="J30" s="303"/>
      <c r="K30" s="304"/>
      <c r="L30" s="282" t="s">
        <v>316</v>
      </c>
      <c r="M30" s="303"/>
      <c r="N30" s="304"/>
    </row>
    <row r="31" spans="1:19" ht="27.6">
      <c r="A31" s="1990"/>
      <c r="B31" s="1998"/>
      <c r="C31" s="1156"/>
      <c r="D31" s="1348" t="s">
        <v>299</v>
      </c>
      <c r="E31" s="333" t="s">
        <v>300</v>
      </c>
      <c r="F31" s="335" t="s">
        <v>323</v>
      </c>
      <c r="G31" s="305" t="s">
        <v>35</v>
      </c>
      <c r="H31" s="376" t="s">
        <v>508</v>
      </c>
      <c r="I31" s="1305">
        <f>SUM(I32:I35)</f>
        <v>5118.1189702000001</v>
      </c>
      <c r="J31" s="1306">
        <f>SUM(J32:J35)</f>
        <v>565.64941542000008</v>
      </c>
      <c r="K31" s="1153">
        <f>SUM(K32:K35)</f>
        <v>5683.768385620001</v>
      </c>
      <c r="L31" s="570">
        <f>SUM(L35:L35)</f>
        <v>0</v>
      </c>
      <c r="M31" s="431">
        <f>SUM(M35:M35)</f>
        <v>0</v>
      </c>
      <c r="N31" s="583">
        <f>SUM(N32:N35)</f>
        <v>5768.5802584569965</v>
      </c>
    </row>
    <row r="32" spans="1:19" ht="22.5" customHeight="1">
      <c r="A32" s="306">
        <v>1</v>
      </c>
      <c r="B32" s="247" t="s">
        <v>1121</v>
      </c>
      <c r="C32" s="581">
        <f>E32/D32</f>
        <v>3718.4857142857136</v>
      </c>
      <c r="D32" s="1272">
        <f>'2012'!D32</f>
        <v>7.0000000000000007E-2</v>
      </c>
      <c r="E32" s="1138">
        <v>260.29399999999998</v>
      </c>
      <c r="F32" s="1271">
        <v>397902.31</v>
      </c>
      <c r="G32" s="1272">
        <v>93.93</v>
      </c>
      <c r="H32" s="1273">
        <v>758.64685454135008</v>
      </c>
      <c r="I32" s="262">
        <f>$D32*$F32*6/1000</f>
        <v>167.11897020000004</v>
      </c>
      <c r="J32" s="181">
        <f>$E32*$G32/1000</f>
        <v>24.449415420000001</v>
      </c>
      <c r="K32" s="263">
        <f>I32+J32</f>
        <v>191.56838562000004</v>
      </c>
      <c r="L32" s="431"/>
      <c r="M32" s="431"/>
      <c r="N32" s="558">
        <f>E32*H32/1000</f>
        <v>197.47122435598618</v>
      </c>
    </row>
    <row r="33" spans="1:15" ht="22.5" customHeight="1">
      <c r="A33" s="1236">
        <v>2</v>
      </c>
      <c r="B33" s="1237" t="s">
        <v>1124</v>
      </c>
      <c r="C33" s="1238">
        <f>E33/D33</f>
        <v>2913.2142857142853</v>
      </c>
      <c r="D33" s="1272">
        <f>'2012'!D33</f>
        <v>7.0000000000000007E-2</v>
      </c>
      <c r="E33" s="1137">
        <v>203.92499999999998</v>
      </c>
      <c r="F33" s="1271">
        <v>139799.97</v>
      </c>
      <c r="G33" s="1272">
        <v>95.89</v>
      </c>
      <c r="H33" s="1274">
        <v>331.81098137210358</v>
      </c>
      <c r="I33" s="520">
        <f>ROUND(($D$33*$F$33*6/1000),1)</f>
        <v>58.7</v>
      </c>
      <c r="J33" s="520">
        <f>ROUND(($E$33*$G$33/1000),1)</f>
        <v>19.600000000000001</v>
      </c>
      <c r="K33" s="521">
        <f>I33+J33</f>
        <v>78.300000000000011</v>
      </c>
      <c r="L33" s="431"/>
      <c r="M33" s="431"/>
      <c r="N33" s="558">
        <f>E33*H33/1000</f>
        <v>67.664554376306214</v>
      </c>
    </row>
    <row r="34" spans="1:15" ht="22.5" customHeight="1">
      <c r="A34" s="1275">
        <v>3</v>
      </c>
      <c r="B34" s="330" t="s">
        <v>1125</v>
      </c>
      <c r="C34" s="1238">
        <f>E34/D34</f>
        <v>3888.3663969128174</v>
      </c>
      <c r="D34" s="1344">
        <f>'2012'!D34</f>
        <v>2.87</v>
      </c>
      <c r="E34" s="1340">
        <f>$E$24+$E$38+$E$39+$E$32+$E$35+$E$42-$E$33</f>
        <v>11159.611559139787</v>
      </c>
      <c r="F34" s="1271">
        <v>283891.76</v>
      </c>
      <c r="G34" s="1272">
        <v>46.69</v>
      </c>
      <c r="H34" s="1274">
        <v>492.77467676721807</v>
      </c>
      <c r="I34" s="520">
        <f>ROUND(($D$34*$F$34*6/1000),1)</f>
        <v>4888.6000000000004</v>
      </c>
      <c r="J34" s="520">
        <f>ROUND(($E$34*$G$34/1000),1)</f>
        <v>521</v>
      </c>
      <c r="K34" s="521">
        <f>I34+J34</f>
        <v>5409.6</v>
      </c>
      <c r="L34" s="431"/>
      <c r="M34" s="431"/>
      <c r="N34" s="558">
        <f>E34*H34/1000</f>
        <v>5499.1739789028188</v>
      </c>
    </row>
    <row r="35" spans="1:15" ht="22.5" customHeight="1" thickBot="1">
      <c r="A35" s="306">
        <v>4</v>
      </c>
      <c r="B35" s="247" t="s">
        <v>1122</v>
      </c>
      <c r="C35" s="581">
        <f>E35/D35</f>
        <v>4326.6111111111113</v>
      </c>
      <c r="D35" s="1272">
        <f>'2012'!D35</f>
        <v>0.09</v>
      </c>
      <c r="E35" s="1137">
        <v>389.39500000000004</v>
      </c>
      <c r="F35" s="1271">
        <v>6820.2</v>
      </c>
      <c r="G35" s="1272">
        <v>1.61</v>
      </c>
      <c r="H35" s="1274">
        <v>10.967015040986782</v>
      </c>
      <c r="I35" s="520">
        <f>ROUND(($D$35*$F$35*6/1000),1)</f>
        <v>3.7</v>
      </c>
      <c r="J35" s="520">
        <f>ROUND(($E$35*$G$35/1000),1)</f>
        <v>0.6</v>
      </c>
      <c r="K35" s="521">
        <f>I35+J35</f>
        <v>4.3</v>
      </c>
      <c r="L35" s="431"/>
      <c r="M35" s="431"/>
      <c r="N35" s="558">
        <f>E35*H35/1000</f>
        <v>4.2705008218850482</v>
      </c>
    </row>
    <row r="36" spans="1:15" ht="46.8">
      <c r="A36" s="1276" t="s">
        <v>325</v>
      </c>
      <c r="B36" s="1277" t="s">
        <v>1078</v>
      </c>
      <c r="C36" s="1278"/>
      <c r="D36" s="1343"/>
      <c r="E36" s="1280"/>
      <c r="F36" s="1281" t="s">
        <v>323</v>
      </c>
      <c r="G36" s="1282" t="s">
        <v>35</v>
      </c>
      <c r="H36" s="1283" t="s">
        <v>35</v>
      </c>
      <c r="I36" s="1284">
        <f>SUM(I37:I39)</f>
        <v>1313.5799634</v>
      </c>
      <c r="J36" s="1285">
        <f>SUM(J37:J39)</f>
        <v>674.92</v>
      </c>
      <c r="K36" s="1286">
        <f>SUM(K37:K39)</f>
        <v>1988.4999634000001</v>
      </c>
      <c r="L36" s="1287">
        <f>SUM(L38:L39)</f>
        <v>0</v>
      </c>
      <c r="M36" s="1288">
        <f>SUM(M38:M39)</f>
        <v>0</v>
      </c>
      <c r="N36" s="1286">
        <f>SUM(N37:N39)</f>
        <v>2034.4065699019827</v>
      </c>
    </row>
    <row r="37" spans="1:15" hidden="1">
      <c r="A37" s="306">
        <v>1</v>
      </c>
      <c r="B37" s="247" t="s">
        <v>1111</v>
      </c>
      <c r="C37" s="581">
        <f>E37/D37</f>
        <v>3901.9620836153103</v>
      </c>
      <c r="D37" s="1339">
        <f>$D$24+$D$38+$D$39+$D$32+$D$35+$G$42-$D$33</f>
        <v>2.86</v>
      </c>
      <c r="E37" s="1159">
        <f>$E$24+$E$38+$E$39+$E$32+$E$35+$E$42-$E$33</f>
        <v>11159.611559139787</v>
      </c>
      <c r="F37" s="571"/>
      <c r="G37" s="572"/>
      <c r="H37" s="1289">
        <v>0</v>
      </c>
      <c r="I37" s="1261">
        <f>$D$37*$F$37*12/1000</f>
        <v>0</v>
      </c>
      <c r="J37" s="1262">
        <f>$E$37*$G$37/1000</f>
        <v>0</v>
      </c>
      <c r="K37" s="1263">
        <f>I37+J37</f>
        <v>0</v>
      </c>
      <c r="L37" s="1264"/>
      <c r="M37" s="1262"/>
      <c r="N37" s="1263">
        <f>E37*H37/1000</f>
        <v>0</v>
      </c>
    </row>
    <row r="38" spans="1:15" ht="16.2">
      <c r="A38" s="306">
        <v>1</v>
      </c>
      <c r="B38" s="247" t="s">
        <v>1123</v>
      </c>
      <c r="C38" s="581">
        <f>E38/D38</f>
        <v>4495.4128440366967</v>
      </c>
      <c r="D38" s="1344">
        <f>'2012'!D38</f>
        <v>1.0900000000000001</v>
      </c>
      <c r="E38" s="1239">
        <v>4900</v>
      </c>
      <c r="F38" s="292">
        <v>181738.41</v>
      </c>
      <c r="G38" s="293">
        <v>125.28</v>
      </c>
      <c r="H38" s="1270">
        <v>377.63014891719746</v>
      </c>
      <c r="I38" s="1261">
        <f>$D38*$F38*6/1000</f>
        <v>1188.5692014000001</v>
      </c>
      <c r="J38" s="1262">
        <f>$E38*$G38/1000</f>
        <v>613.87199999999996</v>
      </c>
      <c r="K38" s="1263">
        <f>I38+J38</f>
        <v>1802.4412014</v>
      </c>
      <c r="L38" s="1264"/>
      <c r="M38" s="1262"/>
      <c r="N38" s="1263">
        <f>E38*H38/1000</f>
        <v>1850.3877296942676</v>
      </c>
    </row>
    <row r="39" spans="1:15" ht="32.25" customHeight="1" thickBot="1">
      <c r="A39" s="307">
        <v>2</v>
      </c>
      <c r="B39" s="1240" t="s">
        <v>1120</v>
      </c>
      <c r="C39" s="582">
        <f>E39/D39</f>
        <v>3250</v>
      </c>
      <c r="D39" s="1345">
        <f>'2012'!D39</f>
        <v>0.1</v>
      </c>
      <c r="E39" s="562">
        <v>325</v>
      </c>
      <c r="F39" s="372">
        <v>208351.27</v>
      </c>
      <c r="G39" s="373">
        <v>187.84</v>
      </c>
      <c r="H39" s="1269">
        <v>566.21181602373883</v>
      </c>
      <c r="I39" s="1265">
        <f>$D$39*$F$39*6/1000</f>
        <v>125.010762</v>
      </c>
      <c r="J39" s="1266">
        <f>$E$39*$G$39/1000</f>
        <v>61.048000000000002</v>
      </c>
      <c r="K39" s="1267">
        <f>I39+J39</f>
        <v>186.058762</v>
      </c>
      <c r="L39" s="579"/>
      <c r="M39" s="580"/>
      <c r="N39" s="1268">
        <f>E39*H39/1000</f>
        <v>184.0188402077151</v>
      </c>
    </row>
    <row r="40" spans="1:15" hidden="1">
      <c r="F40" s="78"/>
      <c r="G40" s="78"/>
      <c r="H40" s="78"/>
      <c r="L40" s="13"/>
      <c r="M40" s="13"/>
      <c r="N40" s="13"/>
    </row>
    <row r="41" spans="1:15">
      <c r="B41" s="44" t="s">
        <v>257</v>
      </c>
      <c r="C41" s="44"/>
      <c r="L41" s="13"/>
      <c r="M41" s="13"/>
      <c r="N41" s="13"/>
    </row>
    <row r="42" spans="1:15">
      <c r="D42" s="44" t="s">
        <v>1082</v>
      </c>
      <c r="E42" s="794">
        <f>(E24+E32+E35+E38+E39)/(1-7/100)*7/100</f>
        <v>795.44755913978497</v>
      </c>
      <c r="F42" s="13" t="s">
        <v>326</v>
      </c>
      <c r="G42" s="13">
        <v>0.21</v>
      </c>
      <c r="H42" s="1338">
        <f>E42/(E34+E33)</f>
        <v>6.9999999999999993E-2</v>
      </c>
      <c r="L42" s="13"/>
      <c r="M42" s="13"/>
      <c r="N42" s="13"/>
    </row>
    <row r="43" spans="1:15">
      <c r="D43" s="44" t="s">
        <v>327</v>
      </c>
      <c r="E43" s="1337">
        <f>2216.76/1566.09*1000</f>
        <v>1415.4742064632301</v>
      </c>
      <c r="F43" s="13" t="s">
        <v>328</v>
      </c>
      <c r="L43" s="13"/>
      <c r="M43" s="13"/>
      <c r="N43" s="13"/>
    </row>
    <row r="44" spans="1:15" hidden="1"/>
    <row r="45" spans="1:15" hidden="1">
      <c r="E45" s="13" t="s">
        <v>328</v>
      </c>
      <c r="G45" s="377" t="s">
        <v>623</v>
      </c>
      <c r="H45" s="377"/>
      <c r="I45" s="377"/>
      <c r="J45" s="377"/>
      <c r="K45" s="377"/>
    </row>
    <row r="46" spans="1:15" hidden="1">
      <c r="E46" s="384"/>
      <c r="F46" s="383"/>
      <c r="G46" s="378" t="s">
        <v>322</v>
      </c>
      <c r="H46" s="378"/>
      <c r="I46" s="378"/>
      <c r="J46" s="382" t="s">
        <v>509</v>
      </c>
      <c r="K46" s="382"/>
      <c r="L46" s="13"/>
      <c r="M46" s="13"/>
      <c r="N46" s="13"/>
      <c r="O46" s="309"/>
    </row>
    <row r="47" spans="1:15" ht="27" hidden="1">
      <c r="E47" s="384"/>
      <c r="F47" s="383"/>
      <c r="G47" s="379" t="s">
        <v>323</v>
      </c>
      <c r="H47" s="379" t="s">
        <v>35</v>
      </c>
      <c r="I47" s="380" t="s">
        <v>508</v>
      </c>
      <c r="J47" s="377"/>
      <c r="K47" s="377"/>
      <c r="L47" s="13"/>
      <c r="M47" s="13"/>
      <c r="N47" s="13"/>
      <c r="O47" s="310"/>
    </row>
    <row r="48" spans="1:15" hidden="1">
      <c r="E48" s="384"/>
      <c r="F48" s="383"/>
      <c r="G48" s="125"/>
      <c r="H48" s="125"/>
      <c r="I48" s="125"/>
      <c r="J48" s="377"/>
      <c r="K48" s="377"/>
      <c r="L48" s="13"/>
      <c r="M48" s="13"/>
      <c r="N48" s="13"/>
      <c r="O48" s="309"/>
    </row>
    <row r="49" spans="2:14" hidden="1">
      <c r="E49" s="384"/>
      <c r="F49" s="383" t="s">
        <v>624</v>
      </c>
      <c r="G49" s="125"/>
      <c r="H49" s="125"/>
      <c r="I49" s="125"/>
      <c r="J49" s="377"/>
      <c r="K49" s="377"/>
    </row>
    <row r="50" spans="2:14" hidden="1">
      <c r="E50" s="384"/>
      <c r="F50" s="383" t="s">
        <v>324</v>
      </c>
      <c r="G50" s="381"/>
      <c r="H50" s="381"/>
      <c r="I50" s="381"/>
      <c r="J50" s="377"/>
      <c r="K50" s="381"/>
    </row>
    <row r="51" spans="2:14" hidden="1">
      <c r="E51" s="384"/>
      <c r="F51" s="383" t="s">
        <v>350</v>
      </c>
      <c r="G51" s="381"/>
      <c r="H51" s="381"/>
      <c r="I51" s="381"/>
      <c r="J51" s="377"/>
      <c r="K51" s="381"/>
    </row>
    <row r="52" spans="2:14" hidden="1">
      <c r="E52" s="384"/>
      <c r="F52" s="383" t="s">
        <v>621</v>
      </c>
      <c r="G52" s="381"/>
      <c r="H52" s="381"/>
      <c r="I52" s="381"/>
      <c r="J52" s="377"/>
      <c r="K52" s="381"/>
    </row>
    <row r="53" spans="2:14" hidden="1">
      <c r="E53" s="384"/>
      <c r="F53" s="383" t="s">
        <v>186</v>
      </c>
      <c r="G53" s="381"/>
      <c r="H53" s="381"/>
      <c r="I53" s="381"/>
      <c r="J53" s="377"/>
      <c r="K53" s="381"/>
    </row>
    <row r="54" spans="2:14" hidden="1"/>
    <row r="55" spans="2:14" hidden="1"/>
    <row r="56" spans="2:14" hidden="1">
      <c r="K56" s="78"/>
      <c r="L56" s="13"/>
      <c r="M56" s="13"/>
      <c r="N56" s="13"/>
    </row>
    <row r="57" spans="2:14" hidden="1"/>
    <row r="58" spans="2:14" hidden="1"/>
    <row r="59" spans="2:14" ht="12.75" customHeight="1">
      <c r="B59" s="4" t="s">
        <v>1119</v>
      </c>
      <c r="C59" s="4"/>
      <c r="D59" s="4"/>
      <c r="E59" s="4"/>
      <c r="F59" s="4"/>
      <c r="G59" s="100"/>
      <c r="H59" s="101"/>
    </row>
    <row r="60" spans="2:14">
      <c r="B60" s="1987" t="s">
        <v>242</v>
      </c>
      <c r="C60" s="6"/>
      <c r="D60" s="6"/>
      <c r="E60" s="2000" t="s">
        <v>243</v>
      </c>
      <c r="F60" s="17" t="s">
        <v>244</v>
      </c>
      <c r="G60" s="1987" t="s">
        <v>245</v>
      </c>
      <c r="H60" s="4"/>
    </row>
    <row r="61" spans="2:14" ht="66.599999999999994">
      <c r="B61" s="1999"/>
      <c r="C61" s="11"/>
      <c r="D61" s="11"/>
      <c r="E61" s="2001"/>
      <c r="F61" s="17" t="s">
        <v>246</v>
      </c>
      <c r="G61" s="1988"/>
      <c r="H61" s="4"/>
    </row>
    <row r="62" spans="2:14" ht="16.8">
      <c r="B62" s="1999"/>
      <c r="C62" s="11"/>
      <c r="D62" s="11"/>
      <c r="E62" s="81" t="s">
        <v>247</v>
      </c>
      <c r="F62" s="81" t="s">
        <v>248</v>
      </c>
      <c r="G62" s="9"/>
      <c r="H62" s="101" t="s">
        <v>241</v>
      </c>
    </row>
    <row r="63" spans="2:14" ht="15.75" customHeight="1">
      <c r="B63" s="1988"/>
      <c r="C63" s="7"/>
      <c r="D63" s="7"/>
      <c r="E63" s="9" t="s">
        <v>44</v>
      </c>
      <c r="F63" s="9" t="s">
        <v>249</v>
      </c>
      <c r="G63" s="9" t="s">
        <v>249</v>
      </c>
      <c r="H63" s="100"/>
    </row>
    <row r="64" spans="2:14">
      <c r="B64" s="9" t="s">
        <v>226</v>
      </c>
      <c r="C64" s="538"/>
      <c r="D64" s="538"/>
      <c r="E64" s="191">
        <f>'1 И 2 ПОЛУГОДИЕ 2012'!B64</f>
        <v>397387.35</v>
      </c>
      <c r="F64" s="191">
        <f>'1 И 2 ПОЛУГОДИЕ 2012'!D64</f>
        <v>158.29</v>
      </c>
      <c r="G64" s="191">
        <f>'1 И 2 ПОЛУГОДИЕ 2012'!F64</f>
        <v>690.41</v>
      </c>
      <c r="H64" s="540">
        <f>(E64*12/(G64-F64))</f>
        <v>8961.6030218747637</v>
      </c>
    </row>
    <row r="65" spans="2:8">
      <c r="B65" s="9" t="s">
        <v>211</v>
      </c>
      <c r="C65" s="9"/>
      <c r="D65" s="1163"/>
      <c r="E65" s="191">
        <f>'1 И 2 ПОЛУГОДИЕ 2012'!B65</f>
        <v>740597.33</v>
      </c>
      <c r="F65" s="191">
        <f>'1 И 2 ПОЛУГОДИЕ 2012'!D65</f>
        <v>168.14</v>
      </c>
      <c r="G65" s="191">
        <f>'1 И 2 ПОЛУГОДИЕ 2012'!F65</f>
        <v>1174.03</v>
      </c>
      <c r="H65" s="100">
        <f>(E65*12/(G65-F65))</f>
        <v>8835.1290498961116</v>
      </c>
    </row>
    <row r="66" spans="2:8">
      <c r="B66" s="17" t="s">
        <v>253</v>
      </c>
      <c r="C66" s="17"/>
      <c r="D66" s="1225"/>
      <c r="E66" s="191">
        <f>'1 И 2 ПОЛУГОДИЕ 2012'!B66</f>
        <v>1021368.45</v>
      </c>
      <c r="F66" s="191">
        <f>'1 И 2 ПОЛУГОДИЕ 2012'!D66</f>
        <v>432.48</v>
      </c>
      <c r="G66" s="191">
        <f>'1 И 2 ПОЛУГОДИЕ 2012'!F66</f>
        <v>1817.25</v>
      </c>
      <c r="H66" s="100">
        <f>(E66*12/(G66-F66))</f>
        <v>8850.8715526766173</v>
      </c>
    </row>
    <row r="67" spans="2:8">
      <c r="B67" s="9" t="s">
        <v>215</v>
      </c>
      <c r="C67" s="538"/>
      <c r="D67" s="538"/>
      <c r="E67" s="191">
        <f>'1 И 2 ПОЛУГОДИЕ 2012'!B67</f>
        <v>1766107.62</v>
      </c>
      <c r="F67" s="191">
        <f>'1 И 2 ПОЛУГОДИЕ 2012'!D67</f>
        <v>495.34</v>
      </c>
      <c r="G67" s="191">
        <f>'1 И 2 ПОЛУГОДИЕ 2012'!F67</f>
        <v>2688.41</v>
      </c>
      <c r="H67" s="540">
        <f>(E67*12/(G67-F67))</f>
        <v>9663.75511953563</v>
      </c>
    </row>
    <row r="68" spans="2:8">
      <c r="B68" s="341" t="s">
        <v>352</v>
      </c>
      <c r="C68" s="341"/>
      <c r="D68" s="1226"/>
      <c r="E68" s="191"/>
      <c r="F68" s="191"/>
      <c r="G68" s="191">
        <f>'1 И 2 ПОЛУГОДИЕ 2012'!F68</f>
        <v>422.2</v>
      </c>
      <c r="H68" s="196">
        <f>(E68*12/(G68-F68))</f>
        <v>0</v>
      </c>
    </row>
    <row r="69" spans="2:8">
      <c r="B69" s="47"/>
      <c r="C69" s="47"/>
      <c r="D69" s="47"/>
      <c r="E69" s="47"/>
      <c r="F69" s="47"/>
      <c r="G69" s="47"/>
      <c r="H69" s="47"/>
    </row>
  </sheetData>
  <mergeCells count="14">
    <mergeCell ref="B6:B9"/>
    <mergeCell ref="D6:D7"/>
    <mergeCell ref="E6:E7"/>
    <mergeCell ref="F6:F7"/>
    <mergeCell ref="A15:A17"/>
    <mergeCell ref="B15:B17"/>
    <mergeCell ref="D15:E16"/>
    <mergeCell ref="G60:G61"/>
    <mergeCell ref="A22:A23"/>
    <mergeCell ref="B22:E23"/>
    <mergeCell ref="A30:A31"/>
    <mergeCell ref="B30:B31"/>
    <mergeCell ref="B60:B63"/>
    <mergeCell ref="E60:E61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70"/>
  <sheetViews>
    <sheetView topLeftCell="A18" zoomScaleNormal="100" workbookViewId="0">
      <selection activeCell="K8" sqref="K8"/>
    </sheetView>
  </sheetViews>
  <sheetFormatPr defaultColWidth="9.109375" defaultRowHeight="15.6"/>
  <cols>
    <col min="1" max="1" width="6" style="13" customWidth="1"/>
    <col min="2" max="2" width="42.6640625" style="13" customWidth="1"/>
    <col min="3" max="3" width="7.6640625" style="13" customWidth="1"/>
    <col min="4" max="4" width="11.109375" style="13" customWidth="1"/>
    <col min="5" max="5" width="12.44140625" style="13" customWidth="1"/>
    <col min="6" max="6" width="12.88671875" style="13" customWidth="1"/>
    <col min="7" max="7" width="12.44140625" style="13" customWidth="1"/>
    <col min="8" max="8" width="11" style="13" customWidth="1"/>
    <col min="9" max="9" width="13.109375" style="13" customWidth="1"/>
    <col min="10" max="10" width="10.44140625" style="13" customWidth="1"/>
    <col min="11" max="11" width="12" style="13" customWidth="1"/>
    <col min="12" max="13" width="11.5546875" style="78" customWidth="1"/>
    <col min="14" max="14" width="12.5546875" style="78" bestFit="1" customWidth="1"/>
    <col min="15" max="15" width="9.109375" style="13"/>
    <col min="16" max="16" width="10.44140625" style="13" customWidth="1"/>
    <col min="17" max="17" width="9.109375" style="13"/>
    <col min="18" max="18" width="9.109375" style="13" customWidth="1"/>
    <col min="19" max="19" width="11.6640625" style="13" customWidth="1"/>
    <col min="20" max="16384" width="9.109375" style="13"/>
  </cols>
  <sheetData>
    <row r="1" spans="1:15">
      <c r="A1" s="49" t="s">
        <v>1103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97"/>
      <c r="M1" s="197"/>
      <c r="N1" s="197"/>
    </row>
    <row r="2" spans="1:15">
      <c r="A2" s="49" t="s">
        <v>628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197"/>
      <c r="M2" s="197"/>
      <c r="N2" s="197"/>
    </row>
    <row r="3" spans="1:15" ht="16.2" thickBot="1">
      <c r="A3" s="1220" t="s">
        <v>1106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197"/>
      <c r="M3" s="197"/>
      <c r="N3" s="197"/>
      <c r="O3" s="1315" t="s">
        <v>1131</v>
      </c>
    </row>
    <row r="4" spans="1:15" ht="16.2" hidden="1" thickBot="1">
      <c r="B4" s="198" t="s">
        <v>286</v>
      </c>
      <c r="C4" s="198"/>
      <c r="D4" s="78"/>
      <c r="E4" s="78"/>
      <c r="F4" s="78"/>
      <c r="G4" s="78"/>
      <c r="H4" s="78"/>
      <c r="I4" s="78"/>
    </row>
    <row r="5" spans="1:15" ht="16.2" hidden="1" thickBot="1">
      <c r="B5" s="78"/>
      <c r="C5" s="78"/>
      <c r="D5" s="78"/>
      <c r="E5" s="78"/>
      <c r="H5" s="78"/>
      <c r="I5" s="78"/>
    </row>
    <row r="6" spans="1:15" ht="27.75" hidden="1" customHeight="1">
      <c r="B6" s="1975" t="s">
        <v>242</v>
      </c>
      <c r="C6" s="527"/>
      <c r="D6" s="2002" t="s">
        <v>243</v>
      </c>
      <c r="E6" s="2002" t="s">
        <v>288</v>
      </c>
      <c r="F6" s="2004" t="s">
        <v>245</v>
      </c>
    </row>
    <row r="7" spans="1:15" ht="48" hidden="1" customHeight="1">
      <c r="B7" s="1976"/>
      <c r="C7" s="528"/>
      <c r="D7" s="2003"/>
      <c r="E7" s="2003"/>
      <c r="F7" s="2004"/>
    </row>
    <row r="8" spans="1:15" ht="18.600000000000001" hidden="1" thickBot="1">
      <c r="B8" s="1976"/>
      <c r="C8" s="528"/>
      <c r="D8" s="199" t="s">
        <v>289</v>
      </c>
      <c r="E8" s="199" t="s">
        <v>290</v>
      </c>
      <c r="F8" s="35"/>
    </row>
    <row r="9" spans="1:15" ht="31.8" hidden="1" thickBot="1">
      <c r="B9" s="1977"/>
      <c r="C9" s="529"/>
      <c r="D9" s="35" t="s">
        <v>44</v>
      </c>
      <c r="E9" s="35" t="s">
        <v>35</v>
      </c>
      <c r="F9" s="35" t="s">
        <v>35</v>
      </c>
      <c r="G9" s="198" t="s">
        <v>241</v>
      </c>
    </row>
    <row r="10" spans="1:15" ht="16.2" hidden="1" thickBot="1">
      <c r="B10" s="35" t="s">
        <v>226</v>
      </c>
      <c r="C10" s="35"/>
      <c r="D10" s="200">
        <v>300621.82</v>
      </c>
      <c r="E10" s="200">
        <v>176.8</v>
      </c>
      <c r="F10" s="201">
        <v>592.41</v>
      </c>
      <c r="G10" s="202">
        <f>(D10*12/(F10-E10))</f>
        <v>8679.9206948822211</v>
      </c>
    </row>
    <row r="11" spans="1:15" ht="16.2" hidden="1" thickBot="1">
      <c r="B11" s="35" t="s">
        <v>211</v>
      </c>
      <c r="C11" s="35"/>
      <c r="D11" s="200">
        <v>490793.23</v>
      </c>
      <c r="E11" s="200">
        <v>180</v>
      </c>
      <c r="F11" s="201">
        <v>969.48</v>
      </c>
      <c r="G11" s="202">
        <f>(D11*12/(F11-E11))</f>
        <v>7459.9974160206712</v>
      </c>
      <c r="H11" s="203"/>
      <c r="I11" s="204"/>
      <c r="L11" s="205"/>
    </row>
    <row r="12" spans="1:15" ht="16.2" hidden="1" thickBot="1">
      <c r="B12" s="206" t="s">
        <v>253</v>
      </c>
      <c r="C12" s="206"/>
      <c r="D12" s="200">
        <v>680321</v>
      </c>
      <c r="E12" s="200">
        <v>210</v>
      </c>
      <c r="F12" s="201">
        <v>1441.35</v>
      </c>
      <c r="G12" s="202">
        <f>(D12*12/(F12-E12))</f>
        <v>6630.0012181751745</v>
      </c>
      <c r="H12" s="44" t="s">
        <v>291</v>
      </c>
    </row>
    <row r="13" spans="1:15" ht="16.2" hidden="1" thickBot="1">
      <c r="B13" s="35" t="s">
        <v>215</v>
      </c>
      <c r="C13" s="35"/>
      <c r="D13" s="200">
        <v>851305.82</v>
      </c>
      <c r="E13" s="200">
        <v>432</v>
      </c>
      <c r="F13" s="201">
        <v>2296.17</v>
      </c>
      <c r="G13" s="202">
        <f>(D13*12/(F13-E13))</f>
        <v>5480.0097845153605</v>
      </c>
      <c r="H13" s="207">
        <f>(365-53)*16</f>
        <v>4992</v>
      </c>
      <c r="I13" s="13" t="s">
        <v>285</v>
      </c>
      <c r="L13" s="78" t="s">
        <v>285</v>
      </c>
    </row>
    <row r="14" spans="1:15" ht="16.2" hidden="1" thickBot="1">
      <c r="B14" s="39"/>
      <c r="C14" s="39"/>
      <c r="D14" s="208"/>
      <c r="E14" s="208"/>
      <c r="F14" s="209"/>
      <c r="G14" s="202"/>
      <c r="H14" s="207"/>
    </row>
    <row r="15" spans="1:15" ht="16.2" thickBot="1">
      <c r="A15" s="2005"/>
      <c r="B15" s="2008" t="s">
        <v>292</v>
      </c>
      <c r="C15" s="531"/>
      <c r="D15" s="2011" t="s">
        <v>293</v>
      </c>
      <c r="E15" s="2012"/>
      <c r="F15" s="210" t="s">
        <v>294</v>
      </c>
      <c r="G15" s="211"/>
      <c r="H15" s="212"/>
      <c r="I15" s="213" t="s">
        <v>1148</v>
      </c>
      <c r="J15" s="214"/>
      <c r="K15" s="214"/>
      <c r="L15" s="215"/>
      <c r="M15" s="216"/>
      <c r="N15" s="217"/>
    </row>
    <row r="16" spans="1:15" ht="27.6">
      <c r="A16" s="2006"/>
      <c r="B16" s="2009"/>
      <c r="C16" s="559"/>
      <c r="D16" s="2013"/>
      <c r="E16" s="2014"/>
      <c r="F16" s="218" t="s">
        <v>296</v>
      </c>
      <c r="G16" s="219"/>
      <c r="H16" s="220" t="s">
        <v>297</v>
      </c>
      <c r="I16" s="221" t="s">
        <v>1113</v>
      </c>
      <c r="J16" s="222"/>
      <c r="K16" s="223"/>
      <c r="L16" s="604" t="s">
        <v>349</v>
      </c>
      <c r="M16" s="224"/>
      <c r="N16" s="1145"/>
    </row>
    <row r="17" spans="1:19" s="233" customFormat="1" ht="80.25" customHeight="1">
      <c r="A17" s="2007"/>
      <c r="B17" s="2010"/>
      <c r="C17" s="530"/>
      <c r="D17" s="79" t="s">
        <v>299</v>
      </c>
      <c r="E17" s="225" t="s">
        <v>300</v>
      </c>
      <c r="F17" s="226" t="s">
        <v>301</v>
      </c>
      <c r="G17" s="9" t="s">
        <v>302</v>
      </c>
      <c r="H17" s="227" t="s">
        <v>303</v>
      </c>
      <c r="I17" s="228" t="s">
        <v>304</v>
      </c>
      <c r="J17" s="79" t="s">
        <v>305</v>
      </c>
      <c r="K17" s="229" t="s">
        <v>103</v>
      </c>
      <c r="L17" s="230" t="s">
        <v>626</v>
      </c>
      <c r="M17" s="231" t="s">
        <v>305</v>
      </c>
      <c r="N17" s="232" t="s">
        <v>103</v>
      </c>
    </row>
    <row r="18" spans="1:19" s="245" customFormat="1" ht="28.5" customHeight="1">
      <c r="A18" s="234">
        <v>1</v>
      </c>
      <c r="B18" s="235">
        <v>2</v>
      </c>
      <c r="C18" s="235"/>
      <c r="D18" s="236">
        <v>3</v>
      </c>
      <c r="E18" s="237">
        <v>4</v>
      </c>
      <c r="F18" s="238">
        <v>5</v>
      </c>
      <c r="G18" s="236">
        <v>6</v>
      </c>
      <c r="H18" s="239">
        <v>7</v>
      </c>
      <c r="I18" s="240" t="s">
        <v>306</v>
      </c>
      <c r="J18" s="241" t="s">
        <v>307</v>
      </c>
      <c r="K18" s="242" t="s">
        <v>308</v>
      </c>
      <c r="L18" s="238">
        <v>11</v>
      </c>
      <c r="M18" s="236">
        <v>12</v>
      </c>
      <c r="N18" s="239">
        <v>13</v>
      </c>
      <c r="O18" s="243" t="s">
        <v>309</v>
      </c>
      <c r="P18" s="244"/>
      <c r="Q18" s="1318" t="s">
        <v>1133</v>
      </c>
      <c r="S18" s="445"/>
    </row>
    <row r="19" spans="1:19" ht="27.6">
      <c r="A19" s="246" t="s">
        <v>310</v>
      </c>
      <c r="B19" s="183" t="s">
        <v>311</v>
      </c>
      <c r="C19" s="183"/>
      <c r="D19" s="247"/>
      <c r="E19" s="248"/>
      <c r="F19" s="249"/>
      <c r="G19" s="247"/>
      <c r="H19" s="1295" t="s">
        <v>1130</v>
      </c>
      <c r="I19" s="1296">
        <f>'1п-е 2012'!I19+'2п-е 2012'!I19</f>
        <v>2744.8</v>
      </c>
      <c r="J19" s="1352">
        <f>E42*E43/1000</f>
        <v>2216.7541098008833</v>
      </c>
      <c r="K19" s="1298">
        <f>ROUND((I19+J19),1)</f>
        <v>4961.6000000000004</v>
      </c>
      <c r="L19" s="1241" t="s">
        <v>1150</v>
      </c>
      <c r="M19" s="1242"/>
      <c r="N19" s="256">
        <f>N23-N31+N36</f>
        <v>4961.440124093675</v>
      </c>
      <c r="O19" s="243">
        <f>$E$42*$E$43/1000</f>
        <v>2216.7541098008833</v>
      </c>
      <c r="P19" s="1303">
        <f>N20-O19</f>
        <v>2752.2814736591163</v>
      </c>
      <c r="Q19" s="1303">
        <f>K20-J19</f>
        <v>5097.7458901991167</v>
      </c>
      <c r="S19" s="1319">
        <f>Q19/P28-1</f>
        <v>1.540236142216024</v>
      </c>
    </row>
    <row r="20" spans="1:19" ht="43.5" customHeight="1" thickBot="1">
      <c r="A20" s="257"/>
      <c r="B20" s="247" t="s">
        <v>312</v>
      </c>
      <c r="C20" s="247"/>
      <c r="D20" s="247"/>
      <c r="E20" s="248"/>
      <c r="F20" s="258"/>
      <c r="G20" s="259"/>
      <c r="H20" s="260"/>
      <c r="I20" s="577">
        <f>I23+I36-I31</f>
        <v>4244.7000418000007</v>
      </c>
      <c r="J20" s="261">
        <f>ROUND((J23+J36-J31),1)</f>
        <v>3069.8</v>
      </c>
      <c r="K20" s="253">
        <f>ROUND((I20+J20),1)</f>
        <v>7314.5</v>
      </c>
      <c r="L20" s="1241" t="s">
        <v>1116</v>
      </c>
      <c r="M20" s="1242"/>
      <c r="N20" s="1290">
        <f>N23-K31+N36</f>
        <v>4969.0355834599995</v>
      </c>
      <c r="P20" s="1311">
        <f>N20-J20</f>
        <v>1899.2355834599994</v>
      </c>
      <c r="Q20" s="1312"/>
    </row>
    <row r="21" spans="1:19" ht="1.5" hidden="1" customHeight="1">
      <c r="A21" s="264"/>
      <c r="B21" s="265" t="s">
        <v>313</v>
      </c>
      <c r="C21" s="265"/>
      <c r="D21" s="265"/>
      <c r="E21" s="266"/>
      <c r="F21" s="267"/>
      <c r="G21" s="268"/>
      <c r="H21" s="269"/>
      <c r="I21" s="270">
        <f>K19-K20</f>
        <v>-2352.8999999999996</v>
      </c>
      <c r="J21" s="271"/>
      <c r="K21" s="272"/>
      <c r="L21" s="273"/>
      <c r="M21" s="274"/>
      <c r="N21" s="275"/>
      <c r="P21" s="1312"/>
      <c r="Q21" s="1312"/>
    </row>
    <row r="22" spans="1:19" ht="15.75" customHeight="1">
      <c r="A22" s="1989" t="s">
        <v>314</v>
      </c>
      <c r="B22" s="1991" t="s">
        <v>1076</v>
      </c>
      <c r="C22" s="1992"/>
      <c r="D22" s="1993"/>
      <c r="E22" s="1993"/>
      <c r="F22" s="276"/>
      <c r="G22" s="277"/>
      <c r="H22" s="278"/>
      <c r="I22" s="279" t="s">
        <v>315</v>
      </c>
      <c r="J22" s="280"/>
      <c r="K22" s="281"/>
      <c r="L22" s="282" t="s">
        <v>316</v>
      </c>
      <c r="M22" s="280"/>
      <c r="N22" s="283"/>
      <c r="P22" s="1313">
        <v>1583.1356230599986</v>
      </c>
      <c r="Q22" s="1314" t="s">
        <v>1130</v>
      </c>
    </row>
    <row r="23" spans="1:19" ht="24" customHeight="1">
      <c r="A23" s="1990"/>
      <c r="B23" s="1994"/>
      <c r="C23" s="1995"/>
      <c r="D23" s="1995"/>
      <c r="E23" s="1995"/>
      <c r="F23" s="284"/>
      <c r="G23" s="285"/>
      <c r="H23" s="286"/>
      <c r="I23" s="287">
        <f>SUM(I25:I29)</f>
        <v>11853.7780554</v>
      </c>
      <c r="J23" s="288">
        <f>SUM(J25:J29)</f>
        <v>2881.6669403000001</v>
      </c>
      <c r="K23" s="289">
        <f>I23+J23</f>
        <v>14735.4449957</v>
      </c>
      <c r="L23" s="262"/>
      <c r="M23" s="181"/>
      <c r="N23" s="289">
        <f>SUM(N25:N29)</f>
        <v>12385.000000000002</v>
      </c>
      <c r="O23" s="1304">
        <f>N23-K23</f>
        <v>-2350.4449956999979</v>
      </c>
      <c r="P23" s="578">
        <f>N19-K20</f>
        <v>-2353.059875906325</v>
      </c>
    </row>
    <row r="24" spans="1:19" ht="27.75" customHeight="1">
      <c r="A24" s="249"/>
      <c r="B24" s="247" t="s">
        <v>317</v>
      </c>
      <c r="C24" s="560" t="s">
        <v>616</v>
      </c>
      <c r="D24" s="1272">
        <f>SUM(D25:D29)</f>
        <v>1.3699999999999999</v>
      </c>
      <c r="E24" s="1138">
        <f>SUM(E25:E29)</f>
        <v>9367.7000000000007</v>
      </c>
      <c r="F24" s="249"/>
      <c r="G24" s="247"/>
      <c r="H24" s="250"/>
      <c r="I24" s="287"/>
      <c r="J24" s="288"/>
      <c r="K24" s="289"/>
      <c r="L24" s="262"/>
      <c r="M24" s="181"/>
      <c r="N24" s="289"/>
    </row>
    <row r="25" spans="1:19">
      <c r="A25" s="257"/>
      <c r="B25" s="291" t="s">
        <v>1075</v>
      </c>
      <c r="C25" s="1154">
        <f>E25/D25</f>
        <v>7140.3508771929828</v>
      </c>
      <c r="D25" s="1272">
        <f>'2012'!D25</f>
        <v>0.56999999999999995</v>
      </c>
      <c r="E25" s="1138">
        <f>'1п-е 2012'!E25+'2п-е 2012'!E25</f>
        <v>4070</v>
      </c>
      <c r="F25" s="292"/>
      <c r="G25" s="293"/>
      <c r="H25" s="294"/>
      <c r="I25" s="520">
        <f>'1п-е 2012'!I25+'2п-е 2012'!I25</f>
        <v>2605.6021715999996</v>
      </c>
      <c r="J25" s="520">
        <f>'1п-е 2012'!J25+'2п-е 2012'!J25</f>
        <v>630.14904589999992</v>
      </c>
      <c r="K25" s="521">
        <f>I25+J25</f>
        <v>3235.7512174999993</v>
      </c>
      <c r="L25" s="1141"/>
      <c r="M25" s="520"/>
      <c r="N25" s="521">
        <f>'1п-е 2012'!N25+'2п-е 2012'!N25</f>
        <v>2770.5</v>
      </c>
      <c r="O25" s="1230">
        <f>'2012г.об.под факт2010'!N23-'2012 год'!N23</f>
        <v>3165.7999999999975</v>
      </c>
    </row>
    <row r="26" spans="1:19">
      <c r="A26" s="257"/>
      <c r="B26" s="291" t="s">
        <v>318</v>
      </c>
      <c r="C26" s="1154">
        <f>E26/D26</f>
        <v>6689.333333333333</v>
      </c>
      <c r="D26" s="1272">
        <f>'2012'!D26</f>
        <v>0.75</v>
      </c>
      <c r="E26" s="1138">
        <f>'1п-е 2012'!E26+'2п-е 2012'!E26</f>
        <v>5017</v>
      </c>
      <c r="F26" s="292"/>
      <c r="G26" s="293"/>
      <c r="H26" s="294"/>
      <c r="I26" s="520">
        <f>'1п-е 2012'!I26+'2п-е 2012'!I26</f>
        <v>8839.4255549999998</v>
      </c>
      <c r="J26" s="520">
        <f>'1п-е 2012'!J26+'2п-е 2012'!J26</f>
        <v>2123.8332632000001</v>
      </c>
      <c r="K26" s="521">
        <f>I26+J26</f>
        <v>10963.2588182</v>
      </c>
      <c r="L26" s="1141"/>
      <c r="M26" s="520"/>
      <c r="N26" s="521">
        <f>'1п-е 2012'!N26+'2п-е 2012'!N26</f>
        <v>9191.9</v>
      </c>
      <c r="O26" s="1231" t="s">
        <v>1105</v>
      </c>
    </row>
    <row r="27" spans="1:19" ht="26.4">
      <c r="A27" s="257"/>
      <c r="B27" s="295" t="s">
        <v>1074</v>
      </c>
      <c r="C27" s="1154">
        <f>E27/D27</f>
        <v>6600</v>
      </c>
      <c r="D27" s="1272">
        <f>'2012'!D27</f>
        <v>0.02</v>
      </c>
      <c r="E27" s="1138">
        <f>'1п-е 2012'!E27+'2п-е 2012'!E27</f>
        <v>132</v>
      </c>
      <c r="F27" s="292"/>
      <c r="G27" s="293"/>
      <c r="H27" s="294"/>
      <c r="I27" s="520">
        <f>'1п-е 2012'!I27+'2п-е 2012'!I27</f>
        <v>408.75032880000009</v>
      </c>
      <c r="J27" s="520">
        <f>'1п-е 2012'!J27+'2п-е 2012'!J27</f>
        <v>63.862367999999989</v>
      </c>
      <c r="K27" s="521">
        <f>I27+J27</f>
        <v>472.61269680000009</v>
      </c>
      <c r="L27" s="1141"/>
      <c r="M27" s="520"/>
      <c r="N27" s="521">
        <f>'1п-е 2012'!N27+'2п-е 2012'!N27</f>
        <v>358.7</v>
      </c>
      <c r="P27" s="1316" t="s">
        <v>1132</v>
      </c>
      <c r="Q27" s="1316" t="s">
        <v>187</v>
      </c>
      <c r="R27" s="1316" t="s">
        <v>277</v>
      </c>
    </row>
    <row r="28" spans="1:19" s="358" customFormat="1" ht="28.2">
      <c r="A28" s="257"/>
      <c r="B28" s="295" t="s">
        <v>1073</v>
      </c>
      <c r="C28" s="1154" t="e">
        <f>E28/D28</f>
        <v>#DIV/0!</v>
      </c>
      <c r="D28" s="1272">
        <f>'2012'!D28</f>
        <v>0</v>
      </c>
      <c r="E28" s="1138">
        <f>'1п-е 2012'!E28+'2п-е 2012'!E28</f>
        <v>16.7</v>
      </c>
      <c r="F28" s="292"/>
      <c r="G28" s="293"/>
      <c r="H28" s="294"/>
      <c r="I28" s="520"/>
      <c r="J28" s="520">
        <f>'1п-е 2012'!J28+'2п-е 2012'!J28</f>
        <v>7.1676099999999998</v>
      </c>
      <c r="K28" s="521">
        <f>'1п-е 2012'!K28+'2п-е 2012'!K28</f>
        <v>7.1676099999999998</v>
      </c>
      <c r="L28" s="1141"/>
      <c r="M28" s="520"/>
      <c r="N28" s="521">
        <f>'1п-е 2012'!N28+'2п-е 2012'!N28</f>
        <v>7.1999999999999993</v>
      </c>
      <c r="P28" s="1317">
        <v>2006.8</v>
      </c>
      <c r="Q28" s="1317">
        <v>2623.4</v>
      </c>
      <c r="R28" s="1317">
        <f>SUM(P28:Q28)</f>
        <v>4630.2</v>
      </c>
    </row>
    <row r="29" spans="1:19" s="358" customFormat="1" ht="28.8" thickBot="1">
      <c r="A29" s="368"/>
      <c r="B29" s="295" t="s">
        <v>319</v>
      </c>
      <c r="C29" s="582">
        <f>E29/D29</f>
        <v>4400</v>
      </c>
      <c r="D29" s="1345">
        <f>'2012'!D29</f>
        <v>0.03</v>
      </c>
      <c r="E29" s="297">
        <f>'1п-е 2012'!E29+'2п-е 2012'!E29</f>
        <v>132</v>
      </c>
      <c r="F29" s="372"/>
      <c r="G29" s="373"/>
      <c r="H29" s="374"/>
      <c r="I29" s="1301"/>
      <c r="J29" s="1301">
        <f>'1п-е 2012'!J29+'2п-е 2012'!J29</f>
        <v>56.654653199999998</v>
      </c>
      <c r="K29" s="1302">
        <f>'1п-е 2012'!K29+'2п-е 2012'!K29</f>
        <v>56.654653199999998</v>
      </c>
      <c r="L29" s="298"/>
      <c r="M29" s="1142"/>
      <c r="N29" s="1302">
        <f>'1п-е 2012'!N29+'2п-е 2012'!N29</f>
        <v>56.7</v>
      </c>
      <c r="O29" s="13"/>
    </row>
    <row r="30" spans="1:19" ht="16.5" customHeight="1">
      <c r="A30" s="1996" t="s">
        <v>320</v>
      </c>
      <c r="B30" s="1997" t="s">
        <v>1077</v>
      </c>
      <c r="C30" s="1155"/>
      <c r="D30" s="301" t="s">
        <v>321</v>
      </c>
      <c r="E30" s="332"/>
      <c r="F30" s="334" t="s">
        <v>322</v>
      </c>
      <c r="G30" s="301"/>
      <c r="H30" s="301"/>
      <c r="I30" s="302" t="s">
        <v>315</v>
      </c>
      <c r="J30" s="303"/>
      <c r="K30" s="304"/>
      <c r="L30" s="1300" t="s">
        <v>316</v>
      </c>
      <c r="M30" s="303"/>
      <c r="N30" s="304"/>
    </row>
    <row r="31" spans="1:19" ht="27.6">
      <c r="A31" s="1990"/>
      <c r="B31" s="1998"/>
      <c r="C31" s="1156"/>
      <c r="D31" s="231" t="s">
        <v>299</v>
      </c>
      <c r="E31" s="333" t="s">
        <v>300</v>
      </c>
      <c r="F31" s="335" t="s">
        <v>323</v>
      </c>
      <c r="G31" s="305" t="s">
        <v>35</v>
      </c>
      <c r="H31" s="376" t="s">
        <v>508</v>
      </c>
      <c r="I31" s="1305">
        <f>SUM(I32:I35)</f>
        <v>10236.2379404</v>
      </c>
      <c r="J31" s="1306">
        <f>SUM(J32:J35)</f>
        <v>1118.62924294</v>
      </c>
      <c r="K31" s="1153">
        <f>SUM(K32:K35)</f>
        <v>11354.867183340002</v>
      </c>
      <c r="L31" s="570">
        <f>SUM(L35:L35)</f>
        <v>0</v>
      </c>
      <c r="M31" s="431">
        <f>SUM(M35:M35)</f>
        <v>0</v>
      </c>
      <c r="N31" s="583">
        <f>SUM(N32:N35)</f>
        <v>11362.462642706327</v>
      </c>
      <c r="O31" s="1304">
        <f>N31-K31</f>
        <v>7.595459366324576</v>
      </c>
    </row>
    <row r="32" spans="1:19" ht="22.5" customHeight="1">
      <c r="A32" s="306">
        <v>1</v>
      </c>
      <c r="B32" s="247" t="s">
        <v>1121</v>
      </c>
      <c r="C32" s="581">
        <f>E32/D32</f>
        <v>7593.6857142857134</v>
      </c>
      <c r="D32" s="1272">
        <f>'2012'!D32</f>
        <v>7.0000000000000007E-2</v>
      </c>
      <c r="E32" s="1137">
        <f>'1п-е 2012'!E32+'2п-е 2012'!E32</f>
        <v>531.55799999999999</v>
      </c>
      <c r="F32" s="1271">
        <v>397902.31</v>
      </c>
      <c r="G32" s="1272">
        <v>93.93</v>
      </c>
      <c r="H32" s="1273">
        <v>758.65003295971451</v>
      </c>
      <c r="I32" s="262">
        <f>'1п-е 2012'!I32+'2п-е 2012'!I32</f>
        <v>334.23794040000007</v>
      </c>
      <c r="J32" s="181">
        <f>'1п-е 2012'!J32+'2п-е 2012'!J32</f>
        <v>49.929242940000009</v>
      </c>
      <c r="K32" s="263">
        <f>I32+J32</f>
        <v>384.16718334000007</v>
      </c>
      <c r="L32" s="431"/>
      <c r="M32" s="431"/>
      <c r="N32" s="558">
        <f>'1п-е 2012'!N32+'2п-е 2012'!N32</f>
        <v>403.26480470629099</v>
      </c>
    </row>
    <row r="33" spans="1:18" ht="22.5" customHeight="1">
      <c r="A33" s="1236">
        <v>2</v>
      </c>
      <c r="B33" s="1237" t="s">
        <v>1124</v>
      </c>
      <c r="C33" s="1238">
        <f>E33/D33</f>
        <v>6603.0428571428556</v>
      </c>
      <c r="D33" s="1272">
        <f>'2012'!D33</f>
        <v>7.0000000000000007E-2</v>
      </c>
      <c r="E33" s="1137">
        <f>'1п-е 2012'!E33+'2п-е 2012'!E33</f>
        <v>462.21299999999997</v>
      </c>
      <c r="F33" s="1271">
        <v>139799.97</v>
      </c>
      <c r="G33" s="1272">
        <v>95.89</v>
      </c>
      <c r="H33" s="1274">
        <v>331.81383609359284</v>
      </c>
      <c r="I33" s="262">
        <f>'1п-е 2012'!I33+'2п-е 2012'!I33</f>
        <v>117.4</v>
      </c>
      <c r="J33" s="181">
        <f>'1п-е 2012'!J33+'2п-е 2012'!J33</f>
        <v>44.400000000000006</v>
      </c>
      <c r="K33" s="521">
        <f>I33+J33</f>
        <v>161.80000000000001</v>
      </c>
      <c r="L33" s="431"/>
      <c r="M33" s="431"/>
      <c r="N33" s="558">
        <f>'1п-е 2012'!N33+'2п-е 2012'!N33</f>
        <v>153.36734913294413</v>
      </c>
    </row>
    <row r="34" spans="1:18" ht="22.5" customHeight="1">
      <c r="A34" s="1275">
        <v>3</v>
      </c>
      <c r="B34" s="330" t="s">
        <v>1125</v>
      </c>
      <c r="C34" s="1238">
        <f>E34/D34</f>
        <v>7634.300292233338</v>
      </c>
      <c r="D34" s="1344">
        <f>'2012'!D34</f>
        <v>2.87</v>
      </c>
      <c r="E34" s="1340">
        <f>$E$24+$E$38+$E$39+$E$32+$E$35+$E$42-$E$33</f>
        <v>21910.441838709681</v>
      </c>
      <c r="F34" s="1271">
        <v>283891.76</v>
      </c>
      <c r="G34" s="1272">
        <v>46.69</v>
      </c>
      <c r="H34" s="1274">
        <v>492.76608914715831</v>
      </c>
      <c r="I34" s="262">
        <f>'1п-е 2012'!I34+'2п-е 2012'!I34</f>
        <v>9777.2000000000007</v>
      </c>
      <c r="J34" s="181">
        <f>'1п-е 2012'!J34+'2п-е 2012'!J34</f>
        <v>1023</v>
      </c>
      <c r="K34" s="521">
        <f>I34+J34</f>
        <v>10800.2</v>
      </c>
      <c r="L34" s="431"/>
      <c r="M34" s="431"/>
      <c r="N34" s="558">
        <f>'1п-е 2012'!N34+'2п-е 2012'!N34</f>
        <v>10796.910894897092</v>
      </c>
    </row>
    <row r="35" spans="1:18" ht="22.5" customHeight="1" thickBot="1">
      <c r="A35" s="306">
        <v>4</v>
      </c>
      <c r="B35" s="247" t="s">
        <v>1122</v>
      </c>
      <c r="C35" s="581">
        <f>E35/D35</f>
        <v>9036.7888888888901</v>
      </c>
      <c r="D35" s="1272">
        <f>'2012'!D35</f>
        <v>0.09</v>
      </c>
      <c r="E35" s="1137">
        <f>'1п-е 2012'!E35+'2п-е 2012'!E35</f>
        <v>813.31100000000004</v>
      </c>
      <c r="F35" s="1271">
        <v>6820.2</v>
      </c>
      <c r="G35" s="1272">
        <v>1.61</v>
      </c>
      <c r="H35" s="1274">
        <v>10.972923432733603</v>
      </c>
      <c r="I35" s="262">
        <f>'1п-е 2012'!I35+'2п-е 2012'!I35</f>
        <v>7.4</v>
      </c>
      <c r="J35" s="181">
        <f>'1п-е 2012'!J35+'2п-е 2012'!J35</f>
        <v>1.2999999999999998</v>
      </c>
      <c r="K35" s="521">
        <f>I35+J35</f>
        <v>8.6999999999999993</v>
      </c>
      <c r="L35" s="431"/>
      <c r="M35" s="431"/>
      <c r="N35" s="558">
        <f>'1п-е 2012'!N35+'2п-е 2012'!N35</f>
        <v>8.9195939700000011</v>
      </c>
    </row>
    <row r="36" spans="1:18" ht="46.8">
      <c r="A36" s="1276" t="s">
        <v>325</v>
      </c>
      <c r="B36" s="1277" t="s">
        <v>1078</v>
      </c>
      <c r="C36" s="1278"/>
      <c r="D36" s="1279"/>
      <c r="E36" s="1280"/>
      <c r="F36" s="1281" t="s">
        <v>323</v>
      </c>
      <c r="G36" s="1282" t="s">
        <v>35</v>
      </c>
      <c r="H36" s="1283" t="s">
        <v>35</v>
      </c>
      <c r="I36" s="1284">
        <f>SUM(I37:I39)</f>
        <v>2627.1599268</v>
      </c>
      <c r="J36" s="1285">
        <f>SUM(J37:J39)</f>
        <v>1306.7417600000001</v>
      </c>
      <c r="K36" s="1286">
        <f>SUM(K37:K39)</f>
        <v>3933.9016868000003</v>
      </c>
      <c r="L36" s="1287">
        <f>SUM(L38:L39)</f>
        <v>0</v>
      </c>
      <c r="M36" s="1288">
        <f>SUM(M38:M39)</f>
        <v>0</v>
      </c>
      <c r="N36" s="1286">
        <f>SUM(N37:N39)</f>
        <v>3938.9027668000003</v>
      </c>
      <c r="O36" s="1304">
        <f>N36-K36</f>
        <v>5.0010800000000017</v>
      </c>
    </row>
    <row r="37" spans="1:18" hidden="1">
      <c r="A37" s="306">
        <v>1</v>
      </c>
      <c r="B37" s="247" t="s">
        <v>1111</v>
      </c>
      <c r="C37" s="581">
        <f>E37/D37</f>
        <v>7660.9936498984898</v>
      </c>
      <c r="D37" s="1350">
        <f>$D$24+$D$38+$D$39+$D$32+$D$35+$G$42-$D$33</f>
        <v>2.86</v>
      </c>
      <c r="E37" s="1138">
        <f>$E$24+$E$38+$E$39+$E$32+$E$35+$E$42-$E$33</f>
        <v>21910.441838709681</v>
      </c>
      <c r="F37" s="571"/>
      <c r="G37" s="572"/>
      <c r="H37" s="1289">
        <f>K37/E37*1000</f>
        <v>0</v>
      </c>
      <c r="I37" s="1261">
        <f>$D$37*$F$37*12/1000</f>
        <v>0</v>
      </c>
      <c r="J37" s="1262">
        <f>$E$37*$G$37/1000</f>
        <v>0</v>
      </c>
      <c r="K37" s="1263">
        <f>I37+J37</f>
        <v>0</v>
      </c>
      <c r="L37" s="1264"/>
      <c r="M37" s="1262"/>
      <c r="N37" s="1263">
        <f>E37*H37/1000</f>
        <v>0</v>
      </c>
    </row>
    <row r="38" spans="1:18" ht="16.2">
      <c r="A38" s="306">
        <v>1</v>
      </c>
      <c r="B38" s="247" t="s">
        <v>1123</v>
      </c>
      <c r="C38" s="581">
        <f>E38/D38</f>
        <v>8642.2018348623842</v>
      </c>
      <c r="D38" s="1272">
        <f>'2012'!D38</f>
        <v>1.0900000000000001</v>
      </c>
      <c r="E38" s="561">
        <f>'1п-е 2012'!E38+'2п-е 2012'!E38</f>
        <v>9420</v>
      </c>
      <c r="F38" s="292">
        <v>181738.41</v>
      </c>
      <c r="G38" s="293">
        <v>125.28</v>
      </c>
      <c r="H38" s="1270">
        <v>377.63014891719746</v>
      </c>
      <c r="I38" s="181">
        <f>'1п-е 2012'!I38+'2п-е 2012'!I38</f>
        <v>2377.1384028000002</v>
      </c>
      <c r="J38" s="181">
        <f>'1п-е 2012'!J38+'2п-е 2012'!J38</f>
        <v>1180.1376</v>
      </c>
      <c r="K38" s="1263">
        <f>I38+J38</f>
        <v>3557.2760028000002</v>
      </c>
      <c r="L38" s="1264"/>
      <c r="M38" s="1262"/>
      <c r="N38" s="558">
        <f>'1п-е 2012'!N38+'2п-е 2012'!N38</f>
        <v>3557.2760028000002</v>
      </c>
    </row>
    <row r="39" spans="1:18" ht="32.25" customHeight="1" thickBot="1">
      <c r="A39" s="307">
        <v>2</v>
      </c>
      <c r="B39" s="1240" t="s">
        <v>1120</v>
      </c>
      <c r="C39" s="582">
        <f>E39/D39</f>
        <v>6740</v>
      </c>
      <c r="D39" s="1345">
        <f>'2012'!D39</f>
        <v>0.1</v>
      </c>
      <c r="E39" s="562">
        <f>'1п-е 2012'!E39+'2п-е 2012'!E39</f>
        <v>674</v>
      </c>
      <c r="F39" s="372">
        <v>208351.27</v>
      </c>
      <c r="G39" s="373">
        <v>187.84</v>
      </c>
      <c r="H39" s="1269">
        <v>566.21181602373883</v>
      </c>
      <c r="I39" s="298">
        <f>'1п-е 2012'!I39+'2п-е 2012'!I39</f>
        <v>250.021524</v>
      </c>
      <c r="J39" s="299">
        <f>'1п-е 2012'!J39+'2п-е 2012'!J39</f>
        <v>126.60416000000001</v>
      </c>
      <c r="K39" s="1267">
        <f>I39+J39</f>
        <v>376.62568399999998</v>
      </c>
      <c r="L39" s="579"/>
      <c r="M39" s="580"/>
      <c r="N39" s="1307">
        <f>'1п-е 2012'!N39+'2п-е 2012'!N39</f>
        <v>381.62676399999998</v>
      </c>
    </row>
    <row r="40" spans="1:18" hidden="1">
      <c r="F40" s="78"/>
      <c r="G40" s="78"/>
      <c r="H40" s="78"/>
      <c r="L40" s="13"/>
      <c r="M40" s="13"/>
      <c r="N40" s="13"/>
    </row>
    <row r="41" spans="1:18">
      <c r="B41" s="44" t="s">
        <v>257</v>
      </c>
      <c r="C41" s="44"/>
      <c r="L41" s="13"/>
      <c r="M41" s="13"/>
      <c r="N41" s="13"/>
    </row>
    <row r="42" spans="1:18">
      <c r="D42" s="44" t="s">
        <v>1082</v>
      </c>
      <c r="E42" s="794">
        <f>(E24+E32+E35+E38+E39)/(1-7/100)*7/100</f>
        <v>1566.0858387096775</v>
      </c>
      <c r="F42" s="13" t="s">
        <v>326</v>
      </c>
      <c r="G42" s="13">
        <v>0.21</v>
      </c>
      <c r="H42" s="1338">
        <f>E42/(E34+E33)</f>
        <v>6.9999999999999993E-2</v>
      </c>
      <c r="L42" s="13"/>
      <c r="M42" s="13"/>
      <c r="N42" s="13"/>
    </row>
    <row r="43" spans="1:18">
      <c r="D43" s="44" t="s">
        <v>327</v>
      </c>
      <c r="E43" s="1337">
        <f>2216.76/1566.09*1000</f>
        <v>1415.4742064632301</v>
      </c>
      <c r="F43" s="13" t="s">
        <v>328</v>
      </c>
      <c r="L43" s="13"/>
      <c r="M43" s="13"/>
      <c r="N43" s="13"/>
    </row>
    <row r="44" spans="1:18">
      <c r="D44" s="44"/>
      <c r="E44" s="308"/>
      <c r="P44" s="1329"/>
    </row>
    <row r="45" spans="1:18" ht="12.75" customHeight="1">
      <c r="B45" s="4" t="s">
        <v>1119</v>
      </c>
      <c r="C45" s="4"/>
      <c r="D45" s="4"/>
      <c r="E45" s="4"/>
      <c r="F45" s="4"/>
      <c r="G45" s="100"/>
      <c r="H45" s="101"/>
      <c r="P45" s="88"/>
    </row>
    <row r="46" spans="1:18">
      <c r="B46" s="1987" t="s">
        <v>242</v>
      </c>
      <c r="C46" s="6"/>
      <c r="D46" s="6"/>
      <c r="E46" s="2000" t="s">
        <v>243</v>
      </c>
      <c r="F46" s="17" t="s">
        <v>244</v>
      </c>
      <c r="G46" s="1987" t="s">
        <v>245</v>
      </c>
      <c r="H46" s="4"/>
      <c r="P46" s="1329"/>
    </row>
    <row r="47" spans="1:18" ht="66.599999999999994">
      <c r="B47" s="1999"/>
      <c r="C47" s="11"/>
      <c r="D47" s="11"/>
      <c r="E47" s="2001"/>
      <c r="F47" s="17" t="s">
        <v>246</v>
      </c>
      <c r="G47" s="1988"/>
      <c r="H47" s="4"/>
      <c r="P47" s="1331"/>
      <c r="Q47" s="78"/>
      <c r="R47" s="78"/>
    </row>
    <row r="48" spans="1:18" ht="16.8">
      <c r="B48" s="1999"/>
      <c r="C48" s="11"/>
      <c r="D48" s="11"/>
      <c r="E48" s="81" t="s">
        <v>247</v>
      </c>
      <c r="F48" s="81" t="s">
        <v>248</v>
      </c>
      <c r="G48" s="9"/>
      <c r="H48" s="101" t="s">
        <v>241</v>
      </c>
      <c r="P48" s="1331"/>
      <c r="Q48" s="1321"/>
      <c r="R48" s="1321"/>
    </row>
    <row r="49" spans="2:18" ht="15.75" customHeight="1">
      <c r="B49" s="1988"/>
      <c r="C49" s="7"/>
      <c r="D49" s="7"/>
      <c r="E49" s="9" t="s">
        <v>44</v>
      </c>
      <c r="F49" s="9" t="s">
        <v>249</v>
      </c>
      <c r="G49" s="9" t="s">
        <v>249</v>
      </c>
      <c r="H49" s="100"/>
      <c r="P49" s="1331"/>
      <c r="Q49" s="78"/>
      <c r="R49" s="78"/>
    </row>
    <row r="50" spans="2:18">
      <c r="B50" s="9" t="s">
        <v>226</v>
      </c>
      <c r="C50" s="538"/>
      <c r="D50" s="538"/>
      <c r="E50" s="191">
        <f>'1 И 2 ПОЛУГОДИЕ 2012'!B64</f>
        <v>397387.35</v>
      </c>
      <c r="F50" s="191">
        <f>'1 И 2 ПОЛУГОДИЕ 2012'!D64</f>
        <v>158.29</v>
      </c>
      <c r="G50" s="191">
        <f>'1 И 2 ПОЛУГОДИЕ 2012'!F64</f>
        <v>690.41</v>
      </c>
      <c r="H50" s="540">
        <f>(E50*12/(G50-F50))</f>
        <v>8961.6030218747637</v>
      </c>
      <c r="P50" s="88"/>
    </row>
    <row r="51" spans="2:18">
      <c r="B51" s="9" t="s">
        <v>211</v>
      </c>
      <c r="C51" s="9"/>
      <c r="D51" s="1163"/>
      <c r="E51" s="191">
        <f>'1 И 2 ПОЛУГОДИЕ 2012'!B65</f>
        <v>740597.33</v>
      </c>
      <c r="F51" s="191">
        <f>'1 И 2 ПОЛУГОДИЕ 2012'!D65</f>
        <v>168.14</v>
      </c>
      <c r="G51" s="191">
        <f>'1 И 2 ПОЛУГОДИЕ 2012'!F65</f>
        <v>1174.03</v>
      </c>
      <c r="H51" s="100">
        <f>(E51*12/(G51-F51))</f>
        <v>8835.1290498961116</v>
      </c>
      <c r="P51" s="88"/>
    </row>
    <row r="52" spans="2:18" ht="12.75" customHeight="1">
      <c r="B52" s="17" t="s">
        <v>253</v>
      </c>
      <c r="C52" s="17"/>
      <c r="D52" s="1225"/>
      <c r="E52" s="191">
        <f>'1 И 2 ПОЛУГОДИЕ 2012'!B66</f>
        <v>1021368.45</v>
      </c>
      <c r="F52" s="191">
        <f>'1 И 2 ПОЛУГОДИЕ 2012'!D66</f>
        <v>432.48</v>
      </c>
      <c r="G52" s="191">
        <f>'1 И 2 ПОЛУГОДИЕ 2012'!F66</f>
        <v>1817.25</v>
      </c>
      <c r="H52" s="100">
        <f>(E52*12/(G52-F52))</f>
        <v>8850.8715526766173</v>
      </c>
      <c r="P52" s="88"/>
    </row>
    <row r="53" spans="2:18" ht="12.75" customHeight="1">
      <c r="B53" s="9" t="s">
        <v>215</v>
      </c>
      <c r="C53" s="538"/>
      <c r="D53" s="538"/>
      <c r="E53" s="191">
        <f>'1 И 2 ПОЛУГОДИЕ 2012'!B67</f>
        <v>1766107.62</v>
      </c>
      <c r="F53" s="191">
        <f>'1 И 2 ПОЛУГОДИЕ 2012'!D67</f>
        <v>495.34</v>
      </c>
      <c r="G53" s="191">
        <f>'1 И 2 ПОЛУГОДИЕ 2012'!F67</f>
        <v>2688.41</v>
      </c>
      <c r="H53" s="540">
        <f>(E53*12/(G53-F53))</f>
        <v>9663.75511953563</v>
      </c>
      <c r="P53" s="88"/>
    </row>
    <row r="54" spans="2:18" ht="12.75" customHeight="1">
      <c r="B54" s="341" t="s">
        <v>352</v>
      </c>
      <c r="C54" s="341"/>
      <c r="D54" s="1226"/>
      <c r="E54" s="191"/>
      <c r="F54" s="191"/>
      <c r="G54" s="191">
        <f>'1 И 2 ПОЛУГОДИЕ 2012'!F68</f>
        <v>422.2</v>
      </c>
      <c r="H54" s="196">
        <f>(E54*12/(G54-F54))</f>
        <v>0</v>
      </c>
      <c r="P54" s="88"/>
    </row>
    <row r="55" spans="2:18">
      <c r="B55" s="47"/>
      <c r="C55" s="47"/>
      <c r="D55" s="47"/>
      <c r="E55" s="47"/>
      <c r="F55" s="47"/>
      <c r="G55" s="47"/>
      <c r="H55" s="47"/>
      <c r="P55" s="34"/>
    </row>
    <row r="56" spans="2:18">
      <c r="K56" s="1231" t="s">
        <v>1139</v>
      </c>
      <c r="L56" s="1038"/>
      <c r="M56" s="1038"/>
      <c r="N56" s="1038"/>
      <c r="O56" s="1038"/>
    </row>
    <row r="57" spans="2:18">
      <c r="K57" s="1320" t="s">
        <v>1140</v>
      </c>
      <c r="L57" s="1320"/>
      <c r="M57" s="1320"/>
      <c r="N57" s="1320"/>
    </row>
    <row r="58" spans="2:18">
      <c r="K58" s="1320" t="s">
        <v>1144</v>
      </c>
      <c r="L58" s="1320"/>
      <c r="M58" s="1320"/>
      <c r="N58" s="1320"/>
      <c r="O58" s="1329"/>
    </row>
    <row r="59" spans="2:18">
      <c r="K59" s="1322" t="s">
        <v>1137</v>
      </c>
      <c r="L59" s="1323" t="s">
        <v>1135</v>
      </c>
      <c r="M59" s="1324"/>
      <c r="N59" s="1325" t="s">
        <v>1136</v>
      </c>
      <c r="O59" s="88"/>
    </row>
    <row r="60" spans="2:18">
      <c r="K60" s="1326" t="s">
        <v>1134</v>
      </c>
      <c r="L60" s="1327">
        <v>3557.2760028000002</v>
      </c>
      <c r="M60" s="1326"/>
      <c r="N60" s="1327">
        <v>8082.2</v>
      </c>
      <c r="O60" s="88"/>
    </row>
    <row r="61" spans="2:18">
      <c r="K61" s="1326" t="s">
        <v>349</v>
      </c>
      <c r="L61" s="1327">
        <v>3557.2760028000002</v>
      </c>
      <c r="M61" s="1326"/>
      <c r="N61" s="1327">
        <v>7599.1</v>
      </c>
      <c r="O61" s="1330"/>
    </row>
    <row r="62" spans="2:18">
      <c r="K62" s="1326" t="s">
        <v>1138</v>
      </c>
      <c r="L62" s="1328">
        <f>L61-L60</f>
        <v>0</v>
      </c>
      <c r="M62" s="1326"/>
      <c r="N62" s="1327">
        <f>N61-N60</f>
        <v>-483.09999999999945</v>
      </c>
      <c r="O62" s="1330"/>
    </row>
    <row r="63" spans="2:18">
      <c r="K63" s="1332"/>
      <c r="L63" s="1334" t="s">
        <v>1143</v>
      </c>
      <c r="M63" s="1335"/>
      <c r="N63" s="1333"/>
      <c r="O63" s="1330"/>
    </row>
    <row r="64" spans="2:18">
      <c r="K64" s="1320" t="s">
        <v>1141</v>
      </c>
      <c r="L64" s="1320"/>
      <c r="M64" s="1320"/>
      <c r="N64" s="1320"/>
      <c r="O64" s="88"/>
    </row>
    <row r="65" spans="11:15">
      <c r="K65" s="1320" t="s">
        <v>1145</v>
      </c>
      <c r="L65" s="1320"/>
      <c r="M65" s="1320"/>
      <c r="N65" s="1320"/>
      <c r="O65" s="88"/>
    </row>
    <row r="66" spans="11:15">
      <c r="K66" s="1322" t="s">
        <v>1137</v>
      </c>
      <c r="L66" s="1323" t="s">
        <v>1142</v>
      </c>
      <c r="M66" s="1324"/>
      <c r="N66" s="1325" t="s">
        <v>1151</v>
      </c>
      <c r="O66" s="88"/>
    </row>
    <row r="67" spans="11:15">
      <c r="K67" s="1326" t="s">
        <v>1134</v>
      </c>
      <c r="L67" s="1327">
        <v>11208.9</v>
      </c>
      <c r="M67" s="1326"/>
      <c r="N67" s="1327">
        <v>16639.8</v>
      </c>
      <c r="O67" s="88"/>
    </row>
    <row r="68" spans="11:15">
      <c r="K68" s="1326" t="s">
        <v>349</v>
      </c>
      <c r="L68" s="1327">
        <v>11211.3</v>
      </c>
      <c r="M68" s="1326"/>
      <c r="N68" s="1327">
        <v>16468.099999999999</v>
      </c>
      <c r="O68" s="88"/>
    </row>
    <row r="69" spans="11:15">
      <c r="K69" s="1326" t="s">
        <v>1138</v>
      </c>
      <c r="L69" s="1328">
        <f>L68-L67</f>
        <v>2.3999999999996362</v>
      </c>
      <c r="M69" s="1326"/>
      <c r="N69" s="1327">
        <f>N68-N67</f>
        <v>-171.70000000000073</v>
      </c>
      <c r="O69" s="34"/>
    </row>
    <row r="70" spans="11:15">
      <c r="K70" s="1332"/>
      <c r="L70" s="1334" t="s">
        <v>1143</v>
      </c>
      <c r="M70" s="1335"/>
      <c r="N70" s="1333"/>
    </row>
  </sheetData>
  <mergeCells count="14">
    <mergeCell ref="B6:B9"/>
    <mergeCell ref="D6:D7"/>
    <mergeCell ref="E6:E7"/>
    <mergeCell ref="F6:F7"/>
    <mergeCell ref="A15:A17"/>
    <mergeCell ref="B15:B17"/>
    <mergeCell ref="D15:E16"/>
    <mergeCell ref="G46:G47"/>
    <mergeCell ref="A22:A23"/>
    <mergeCell ref="B22:E23"/>
    <mergeCell ref="A30:A31"/>
    <mergeCell ref="B30:B31"/>
    <mergeCell ref="B46:B49"/>
    <mergeCell ref="E46:E47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zoomScaleNormal="100" zoomScaleSheetLayoutView="75" workbookViewId="0">
      <selection activeCell="K8" sqref="K8"/>
    </sheetView>
  </sheetViews>
  <sheetFormatPr defaultRowHeight="13.2"/>
  <cols>
    <col min="1" max="1" width="17.88671875" style="387" customWidth="1"/>
    <col min="2" max="2" width="52.5546875" style="387" customWidth="1"/>
    <col min="3" max="3" width="12.5546875" style="387" customWidth="1"/>
    <col min="4" max="4" width="20.44140625" style="387" customWidth="1"/>
    <col min="5" max="5" width="19.44140625" style="387" customWidth="1"/>
    <col min="6" max="6" width="9.109375" style="1353"/>
  </cols>
  <sheetData>
    <row r="1" spans="1:11" ht="24.75" customHeight="1">
      <c r="E1" s="718" t="s">
        <v>668</v>
      </c>
    </row>
    <row r="2" spans="1:11" ht="15.75" customHeight="1">
      <c r="A2" s="1950" t="s">
        <v>628</v>
      </c>
      <c r="B2" s="1950"/>
      <c r="C2" s="1950"/>
      <c r="D2" s="1950"/>
      <c r="E2" s="1950"/>
    </row>
    <row r="3" spans="1:11" ht="7.5" customHeight="1">
      <c r="A3" s="1950"/>
      <c r="B3" s="1950"/>
      <c r="C3" s="1950"/>
      <c r="D3" s="1950"/>
      <c r="E3" s="1950"/>
    </row>
    <row r="4" spans="1:11" ht="12" customHeight="1">
      <c r="A4" s="1950" t="s">
        <v>361</v>
      </c>
      <c r="B4" s="1950"/>
      <c r="C4" s="1950"/>
      <c r="D4" s="1950"/>
      <c r="E4" s="1950"/>
    </row>
    <row r="5" spans="1:11" ht="21" customHeight="1">
      <c r="A5" s="719"/>
      <c r="B5" s="719"/>
      <c r="C5" s="719"/>
      <c r="D5" s="714"/>
      <c r="E5" s="804" t="s">
        <v>746</v>
      </c>
      <c r="H5" t="e">
        <f>D8/0.8*0.2</f>
        <v>#REF!</v>
      </c>
      <c r="J5" s="695" t="e">
        <f>J7-E8</f>
        <v>#REF!</v>
      </c>
    </row>
    <row r="6" spans="1:11" ht="111.75" customHeight="1">
      <c r="A6" s="720" t="s">
        <v>669</v>
      </c>
      <c r="B6" s="720" t="s">
        <v>665</v>
      </c>
      <c r="C6" s="720" t="s">
        <v>666</v>
      </c>
      <c r="D6" s="720" t="s">
        <v>670</v>
      </c>
      <c r="E6" s="720" t="s">
        <v>671</v>
      </c>
      <c r="F6" s="1359"/>
      <c r="J6" t="s">
        <v>943</v>
      </c>
    </row>
    <row r="7" spans="1:11" ht="15" customHeight="1">
      <c r="A7" s="721">
        <v>1</v>
      </c>
      <c r="B7" s="721">
        <v>2</v>
      </c>
      <c r="C7" s="721">
        <v>3</v>
      </c>
      <c r="D7" s="721">
        <v>4</v>
      </c>
      <c r="E7" s="721">
        <v>5</v>
      </c>
      <c r="F7" s="1360"/>
      <c r="G7" s="688" t="s">
        <v>672</v>
      </c>
      <c r="H7" s="689" t="s">
        <v>673</v>
      </c>
      <c r="I7">
        <v>2006.8000000000002</v>
      </c>
      <c r="J7" s="375">
        <v>7572.833019710979</v>
      </c>
      <c r="K7" t="s">
        <v>944</v>
      </c>
    </row>
    <row r="8" spans="1:11" ht="63" customHeight="1">
      <c r="A8" s="722">
        <v>1</v>
      </c>
      <c r="B8" s="723" t="s">
        <v>674</v>
      </c>
      <c r="C8" s="724" t="s">
        <v>29</v>
      </c>
      <c r="D8" s="725" t="e">
        <f>D9+D33</f>
        <v>#REF!</v>
      </c>
      <c r="E8" s="725" t="e">
        <f>E9+E33</f>
        <v>#REF!</v>
      </c>
      <c r="F8" s="1363">
        <f>F9+F33</f>
        <v>2758.5190399999997</v>
      </c>
      <c r="G8" s="688">
        <f>1911.2+95.6</f>
        <v>2006.8</v>
      </c>
      <c r="H8" s="1058" t="e">
        <f>#REF!</f>
        <v>#REF!</v>
      </c>
      <c r="I8" s="689" t="s">
        <v>675</v>
      </c>
      <c r="K8" s="375" t="e">
        <f>H8-E8</f>
        <v>#REF!</v>
      </c>
    </row>
    <row r="9" spans="1:11" ht="21.75" customHeight="1">
      <c r="A9" s="723" t="s">
        <v>227</v>
      </c>
      <c r="B9" s="723" t="s">
        <v>676</v>
      </c>
      <c r="C9" s="726" t="s">
        <v>29</v>
      </c>
      <c r="D9" s="725">
        <f>D10+D13+D14+D28</f>
        <v>1575.74</v>
      </c>
      <c r="E9" s="725" t="e">
        <f>E10+E13+E14+E28</f>
        <v>#REF!</v>
      </c>
      <c r="F9" s="1356">
        <f>F10+F13+F14+F28</f>
        <v>1658.6850399999998</v>
      </c>
    </row>
    <row r="10" spans="1:11" ht="21.75" customHeight="1">
      <c r="A10" s="727" t="s">
        <v>39</v>
      </c>
      <c r="B10" s="728" t="s">
        <v>677</v>
      </c>
      <c r="C10" s="724" t="s">
        <v>29</v>
      </c>
      <c r="D10" s="725">
        <f>SUM(D11:D12)</f>
        <v>273</v>
      </c>
      <c r="E10" s="725" t="e">
        <f>SUM(E11:E12)</f>
        <v>#REF!</v>
      </c>
      <c r="F10" s="1356">
        <f>SUM(F11:F12)</f>
        <v>285.55799999999999</v>
      </c>
      <c r="H10" s="1051"/>
      <c r="I10" s="1051" t="s">
        <v>943</v>
      </c>
      <c r="J10" s="1051"/>
      <c r="K10" s="1051"/>
    </row>
    <row r="11" spans="1:11">
      <c r="A11" s="729" t="s">
        <v>678</v>
      </c>
      <c r="B11" s="690" t="s">
        <v>679</v>
      </c>
      <c r="C11" s="691" t="s">
        <v>29</v>
      </c>
      <c r="D11" s="716"/>
      <c r="E11" s="716" t="e">
        <f>#REF!</f>
        <v>#REF!</v>
      </c>
      <c r="F11" s="1358">
        <f>273*1.046</f>
        <v>285.55799999999999</v>
      </c>
      <c r="H11" s="1051"/>
      <c r="I11" s="1052">
        <v>7572.833019710979</v>
      </c>
      <c r="J11" s="1057" t="s">
        <v>985</v>
      </c>
      <c r="K11" s="1051"/>
    </row>
    <row r="12" spans="1:11" ht="34.200000000000003">
      <c r="A12" s="729" t="s">
        <v>680</v>
      </c>
      <c r="B12" s="690" t="s">
        <v>681</v>
      </c>
      <c r="C12" s="691" t="s">
        <v>29</v>
      </c>
      <c r="D12" s="716">
        <v>273</v>
      </c>
      <c r="E12" s="716" t="e">
        <f>ROUND((#REF!-#REF!),1)</f>
        <v>#REF!</v>
      </c>
      <c r="F12" s="1357"/>
      <c r="H12" s="1051"/>
      <c r="I12" s="1055" t="s">
        <v>989</v>
      </c>
      <c r="J12" s="1056" t="s">
        <v>990</v>
      </c>
      <c r="K12" s="1057"/>
    </row>
    <row r="13" spans="1:11" ht="17.25" customHeight="1">
      <c r="A13" s="727" t="s">
        <v>40</v>
      </c>
      <c r="B13" s="728" t="s">
        <v>682</v>
      </c>
      <c r="C13" s="724" t="s">
        <v>29</v>
      </c>
      <c r="D13" s="725">
        <v>1196.5</v>
      </c>
      <c r="E13" s="725" t="e">
        <f>#REF!</f>
        <v>#REF!</v>
      </c>
      <c r="F13" s="1362">
        <f>1252+10</f>
        <v>1262</v>
      </c>
      <c r="H13" s="1051"/>
      <c r="I13" s="1053" t="s">
        <v>987</v>
      </c>
      <c r="J13" s="1054">
        <v>22060</v>
      </c>
      <c r="K13" s="1051" t="s">
        <v>988</v>
      </c>
    </row>
    <row r="14" spans="1:11">
      <c r="A14" s="727" t="s">
        <v>575</v>
      </c>
      <c r="B14" s="728" t="s">
        <v>683</v>
      </c>
      <c r="C14" s="724" t="s">
        <v>29</v>
      </c>
      <c r="D14" s="725">
        <f>SUM(D15:D16,D23:D27)</f>
        <v>50</v>
      </c>
      <c r="E14" s="725" t="e">
        <f>SUM(E15:E16,E23:E27)</f>
        <v>#REF!</v>
      </c>
      <c r="F14" s="1356">
        <f>SUM(F15:F16,F23:F27)</f>
        <v>52.300000000000004</v>
      </c>
      <c r="H14" s="1051"/>
      <c r="I14" s="1053" t="s">
        <v>986</v>
      </c>
      <c r="J14" s="1054">
        <f>'П1.30 - 07.06.11г.'!C22</f>
        <v>20123</v>
      </c>
      <c r="K14" s="1051" t="s">
        <v>988</v>
      </c>
    </row>
    <row r="15" spans="1:11">
      <c r="A15" s="729" t="s">
        <v>684</v>
      </c>
      <c r="B15" s="690" t="s">
        <v>685</v>
      </c>
      <c r="C15" s="691" t="s">
        <v>29</v>
      </c>
      <c r="D15" s="716"/>
      <c r="E15" s="716"/>
      <c r="F15" s="1357"/>
      <c r="G15" t="s">
        <v>686</v>
      </c>
    </row>
    <row r="16" spans="1:11">
      <c r="A16" s="729" t="s">
        <v>687</v>
      </c>
      <c r="B16" s="690" t="s">
        <v>688</v>
      </c>
      <c r="C16" s="691" t="s">
        <v>29</v>
      </c>
      <c r="D16" s="733">
        <f>SUM(D17:D22)</f>
        <v>0</v>
      </c>
      <c r="E16" s="733">
        <f>SUM(E17:E22)</f>
        <v>0</v>
      </c>
      <c r="F16" s="1357"/>
      <c r="G16" s="180"/>
      <c r="H16" s="180"/>
      <c r="I16" s="180"/>
      <c r="J16" s="180"/>
    </row>
    <row r="17" spans="1:10">
      <c r="A17" s="730" t="s">
        <v>689</v>
      </c>
      <c r="B17" s="731" t="s">
        <v>690</v>
      </c>
      <c r="C17" s="691" t="s">
        <v>29</v>
      </c>
      <c r="D17" s="716"/>
      <c r="E17" s="716"/>
      <c r="F17" s="1357"/>
      <c r="G17" s="180"/>
      <c r="H17" s="692"/>
      <c r="I17" s="180"/>
      <c r="J17" s="180"/>
    </row>
    <row r="18" spans="1:10" ht="22.8">
      <c r="A18" s="730" t="s">
        <v>691</v>
      </c>
      <c r="B18" s="731" t="s">
        <v>692</v>
      </c>
      <c r="C18" s="691" t="s">
        <v>29</v>
      </c>
      <c r="D18" s="717"/>
      <c r="E18" s="717"/>
      <c r="F18" s="1357"/>
      <c r="G18" s="180"/>
      <c r="H18" s="692"/>
      <c r="I18" s="180"/>
      <c r="J18" s="180"/>
    </row>
    <row r="19" spans="1:10">
      <c r="A19" s="730" t="s">
        <v>693</v>
      </c>
      <c r="B19" s="731" t="s">
        <v>694</v>
      </c>
      <c r="C19" s="691" t="s">
        <v>29</v>
      </c>
      <c r="D19" s="717"/>
      <c r="E19" s="717"/>
      <c r="F19" s="1357"/>
    </row>
    <row r="20" spans="1:10">
      <c r="A20" s="730" t="s">
        <v>695</v>
      </c>
      <c r="B20" s="731" t="s">
        <v>696</v>
      </c>
      <c r="C20" s="691" t="s">
        <v>29</v>
      </c>
      <c r="D20" s="717"/>
      <c r="E20" s="717"/>
      <c r="F20" s="1357"/>
    </row>
    <row r="21" spans="1:10">
      <c r="A21" s="730" t="s">
        <v>697</v>
      </c>
      <c r="B21" s="731" t="s">
        <v>698</v>
      </c>
      <c r="C21" s="691" t="s">
        <v>29</v>
      </c>
      <c r="D21" s="717"/>
      <c r="E21" s="717"/>
      <c r="F21" s="1357"/>
    </row>
    <row r="22" spans="1:10">
      <c r="A22" s="730" t="s">
        <v>699</v>
      </c>
      <c r="B22" s="732" t="s">
        <v>700</v>
      </c>
      <c r="C22" s="691" t="s">
        <v>29</v>
      </c>
      <c r="D22" s="717"/>
      <c r="E22" s="717"/>
      <c r="F22" s="1357"/>
      <c r="G22" t="s">
        <v>701</v>
      </c>
    </row>
    <row r="23" spans="1:10">
      <c r="A23" s="729" t="s">
        <v>702</v>
      </c>
      <c r="B23" s="690" t="s">
        <v>703</v>
      </c>
      <c r="C23" s="691" t="s">
        <v>29</v>
      </c>
      <c r="D23" s="717"/>
      <c r="E23" s="717"/>
      <c r="F23" s="1357"/>
    </row>
    <row r="24" spans="1:10">
      <c r="A24" s="729" t="s">
        <v>704</v>
      </c>
      <c r="B24" s="690" t="s">
        <v>705</v>
      </c>
      <c r="C24" s="691" t="s">
        <v>29</v>
      </c>
      <c r="D24" s="717"/>
      <c r="E24" s="717"/>
      <c r="F24" s="1357"/>
    </row>
    <row r="25" spans="1:10" ht="22.8">
      <c r="A25" s="729" t="s">
        <v>706</v>
      </c>
      <c r="B25" s="690" t="s">
        <v>707</v>
      </c>
      <c r="C25" s="691" t="s">
        <v>29</v>
      </c>
      <c r="D25" s="733"/>
      <c r="E25" s="717">
        <f>ROUND(('РСЭО 2012г.'!E33+'РСЭО 2012г.'!E34),1)</f>
        <v>82.3</v>
      </c>
      <c r="F25" s="1357"/>
      <c r="G25" t="s">
        <v>708</v>
      </c>
    </row>
    <row r="26" spans="1:10">
      <c r="A26" s="729" t="s">
        <v>709</v>
      </c>
      <c r="B26" s="690" t="s">
        <v>710</v>
      </c>
      <c r="C26" s="691" t="s">
        <v>29</v>
      </c>
      <c r="D26" s="733"/>
      <c r="E26" s="716"/>
      <c r="F26" s="1357"/>
    </row>
    <row r="27" spans="1:10">
      <c r="A27" s="729" t="s">
        <v>711</v>
      </c>
      <c r="B27" s="690" t="s">
        <v>994</v>
      </c>
      <c r="C27" s="691" t="s">
        <v>29</v>
      </c>
      <c r="D27" s="717">
        <v>50</v>
      </c>
      <c r="E27" s="717" t="e">
        <f>ROUND((#REF!),1)</f>
        <v>#REF!</v>
      </c>
      <c r="F27" s="1357">
        <f>50*1.046</f>
        <v>52.300000000000004</v>
      </c>
      <c r="G27" t="s">
        <v>708</v>
      </c>
    </row>
    <row r="28" spans="1:10" ht="19.5" customHeight="1">
      <c r="A28" s="727" t="s">
        <v>576</v>
      </c>
      <c r="B28" s="734" t="s">
        <v>712</v>
      </c>
      <c r="C28" s="724" t="s">
        <v>29</v>
      </c>
      <c r="D28" s="717">
        <f>SUM(D29:D31)</f>
        <v>56.24</v>
      </c>
      <c r="E28" s="735" t="e">
        <f>SUM(E29:E31)</f>
        <v>#REF!</v>
      </c>
      <c r="F28" s="1361">
        <f>SUM(F29:F31)</f>
        <v>58.827040000000004</v>
      </c>
    </row>
    <row r="29" spans="1:10" ht="18.75" customHeight="1">
      <c r="A29" s="729" t="s">
        <v>713</v>
      </c>
      <c r="B29" s="690" t="s">
        <v>714</v>
      </c>
      <c r="C29" s="691" t="s">
        <v>29</v>
      </c>
      <c r="D29" s="733">
        <v>0</v>
      </c>
      <c r="E29" s="733">
        <v>0</v>
      </c>
      <c r="F29" s="1357"/>
    </row>
    <row r="30" spans="1:10" ht="18.75" customHeight="1">
      <c r="A30" s="729" t="s">
        <v>715</v>
      </c>
      <c r="B30" s="690" t="s">
        <v>716</v>
      </c>
      <c r="C30" s="691" t="s">
        <v>29</v>
      </c>
      <c r="D30" s="693">
        <f>(95.6-25.3)*0.8</f>
        <v>56.24</v>
      </c>
      <c r="E30" s="693" t="e">
        <f>#REF!+#REF!</f>
        <v>#REF!</v>
      </c>
      <c r="F30" s="1358">
        <f>D30*1.046</f>
        <v>58.827040000000004</v>
      </c>
    </row>
    <row r="31" spans="1:10" ht="18" customHeight="1">
      <c r="A31" s="729" t="s">
        <v>717</v>
      </c>
      <c r="B31" s="690" t="s">
        <v>718</v>
      </c>
      <c r="C31" s="691" t="s">
        <v>29</v>
      </c>
      <c r="D31" s="733">
        <v>0</v>
      </c>
      <c r="E31" s="733">
        <v>0</v>
      </c>
      <c r="F31" s="1357"/>
    </row>
    <row r="32" spans="1:10" ht="9.75" customHeight="1">
      <c r="A32" s="1950"/>
      <c r="B32" s="1950"/>
      <c r="C32" s="1950"/>
      <c r="D32" s="1950"/>
      <c r="E32" s="1950"/>
      <c r="F32" s="1357"/>
    </row>
    <row r="33" spans="1:10" ht="25.5" customHeight="1">
      <c r="A33" s="723" t="s">
        <v>228</v>
      </c>
      <c r="B33" s="723" t="s">
        <v>719</v>
      </c>
      <c r="C33" s="723" t="s">
        <v>29</v>
      </c>
      <c r="D33" s="735" t="e">
        <f>SUM(D34:D38,D42:D47)</f>
        <v>#REF!</v>
      </c>
      <c r="E33" s="735" t="e">
        <f>SUM(E34:E38,E42:E47)</f>
        <v>#REF!</v>
      </c>
      <c r="F33" s="1364">
        <f>SUM(F34:F38,F42:F47)</f>
        <v>1099.8339999999998</v>
      </c>
    </row>
    <row r="34" spans="1:10" ht="23.25" customHeight="1">
      <c r="A34" s="727" t="s">
        <v>579</v>
      </c>
      <c r="B34" s="736" t="s">
        <v>720</v>
      </c>
      <c r="C34" s="724" t="s">
        <v>29</v>
      </c>
      <c r="D34" s="733">
        <v>0</v>
      </c>
      <c r="E34" s="733">
        <v>0</v>
      </c>
      <c r="F34" s="1357"/>
    </row>
    <row r="35" spans="1:10" ht="19.5" customHeight="1">
      <c r="A35" s="727" t="s">
        <v>580</v>
      </c>
      <c r="B35" s="736" t="s">
        <v>721</v>
      </c>
      <c r="C35" s="724" t="s">
        <v>29</v>
      </c>
      <c r="D35" s="733">
        <v>0</v>
      </c>
      <c r="E35" s="733">
        <v>0</v>
      </c>
      <c r="F35" s="1357"/>
    </row>
    <row r="36" spans="1:10" ht="16.5" customHeight="1">
      <c r="A36" s="727" t="s">
        <v>581</v>
      </c>
      <c r="B36" s="736" t="s">
        <v>194</v>
      </c>
      <c r="C36" s="724" t="s">
        <v>29</v>
      </c>
      <c r="D36" s="733">
        <v>0</v>
      </c>
      <c r="E36" s="733">
        <v>0</v>
      </c>
      <c r="F36" s="1357"/>
    </row>
    <row r="37" spans="1:10">
      <c r="A37" s="727" t="s">
        <v>722</v>
      </c>
      <c r="B37" s="736" t="s">
        <v>723</v>
      </c>
      <c r="C37" s="724" t="s">
        <v>29</v>
      </c>
      <c r="D37" s="733">
        <v>0</v>
      </c>
      <c r="E37" s="733">
        <v>0</v>
      </c>
      <c r="F37" s="1357"/>
    </row>
    <row r="38" spans="1:10">
      <c r="A38" s="727" t="s">
        <v>724</v>
      </c>
      <c r="B38" s="737" t="s">
        <v>725</v>
      </c>
      <c r="C38" s="724" t="s">
        <v>29</v>
      </c>
      <c r="D38" s="735" t="e">
        <f>SUM(D39:D41)</f>
        <v>#REF!</v>
      </c>
      <c r="E38" s="735" t="e">
        <f>SUM(E39:E41)</f>
        <v>#REF!</v>
      </c>
      <c r="F38" s="1361">
        <f>SUM(F39:F41)</f>
        <v>25.3</v>
      </c>
    </row>
    <row r="39" spans="1:10">
      <c r="A39" s="729" t="s">
        <v>726</v>
      </c>
      <c r="B39" s="690" t="s">
        <v>727</v>
      </c>
      <c r="C39" s="691" t="s">
        <v>29</v>
      </c>
      <c r="D39" s="693"/>
      <c r="E39" s="693"/>
      <c r="F39" s="1357"/>
    </row>
    <row r="40" spans="1:10">
      <c r="A40" s="729" t="s">
        <v>728</v>
      </c>
      <c r="B40" s="690" t="s">
        <v>729</v>
      </c>
      <c r="C40" s="691" t="s">
        <v>29</v>
      </c>
      <c r="D40" s="693" t="e">
        <f>E40</f>
        <v>#REF!</v>
      </c>
      <c r="E40" s="693" t="e">
        <f>#REF!</f>
        <v>#REF!</v>
      </c>
      <c r="F40" s="1357">
        <v>25.3</v>
      </c>
    </row>
    <row r="41" spans="1:10">
      <c r="A41" s="729" t="s">
        <v>730</v>
      </c>
      <c r="B41" s="690" t="s">
        <v>731</v>
      </c>
      <c r="C41" s="691" t="s">
        <v>29</v>
      </c>
      <c r="D41" s="693"/>
      <c r="E41" s="693"/>
      <c r="F41" s="1357"/>
      <c r="G41" t="s">
        <v>732</v>
      </c>
    </row>
    <row r="42" spans="1:10" ht="28.5" customHeight="1">
      <c r="A42" s="727" t="s">
        <v>733</v>
      </c>
      <c r="B42" s="736" t="s">
        <v>734</v>
      </c>
      <c r="C42" s="724" t="s">
        <v>29</v>
      </c>
      <c r="D42" s="693">
        <v>311.10000000000002</v>
      </c>
      <c r="E42" s="693" t="e">
        <f>E13*0.357</f>
        <v>#REF!</v>
      </c>
      <c r="F42" s="1358">
        <f>0.357*F13</f>
        <v>450.53399999999999</v>
      </c>
      <c r="H42" s="694">
        <f>D42/D13</f>
        <v>0.26000835770998748</v>
      </c>
      <c r="I42" s="694" t="e">
        <f>E42/E13</f>
        <v>#REF!</v>
      </c>
    </row>
    <row r="43" spans="1:10" ht="24.75" customHeight="1">
      <c r="A43" s="727" t="s">
        <v>735</v>
      </c>
      <c r="B43" s="736" t="s">
        <v>736</v>
      </c>
      <c r="C43" s="724" t="s">
        <v>29</v>
      </c>
      <c r="D43" s="693">
        <v>80.599999999999994</v>
      </c>
      <c r="E43" s="693" t="e">
        <f>#REF!</f>
        <v>#REF!</v>
      </c>
      <c r="F43" s="1357">
        <v>80.599999999999994</v>
      </c>
    </row>
    <row r="44" spans="1:10" ht="30.75" customHeight="1">
      <c r="A44" s="727" t="s">
        <v>737</v>
      </c>
      <c r="B44" s="736" t="s">
        <v>738</v>
      </c>
      <c r="C44" s="724" t="s">
        <v>29</v>
      </c>
      <c r="D44" s="733"/>
      <c r="E44" s="733"/>
      <c r="F44" s="1357"/>
    </row>
    <row r="45" spans="1:10" ht="30" customHeight="1">
      <c r="A45" s="727" t="s">
        <v>739</v>
      </c>
      <c r="B45" s="736" t="s">
        <v>740</v>
      </c>
      <c r="C45" s="724" t="s">
        <v>29</v>
      </c>
      <c r="D45" s="733">
        <v>0</v>
      </c>
      <c r="E45" s="733">
        <v>0</v>
      </c>
      <c r="F45" s="1357"/>
      <c r="G45" t="s">
        <v>741</v>
      </c>
    </row>
    <row r="46" spans="1:10" ht="20.25" customHeight="1">
      <c r="A46" s="727" t="s">
        <v>742</v>
      </c>
      <c r="B46" s="736" t="s">
        <v>743</v>
      </c>
      <c r="C46" s="724" t="s">
        <v>29</v>
      </c>
      <c r="D46" s="693" t="e">
        <f>95.6-D30-D40</f>
        <v>#REF!</v>
      </c>
      <c r="E46" s="693" t="e">
        <f>#REF!</f>
        <v>#REF!</v>
      </c>
      <c r="F46" s="1357">
        <v>28.4</v>
      </c>
      <c r="I46" s="695" t="e">
        <f>D40+D46+D30</f>
        <v>#REF!</v>
      </c>
      <c r="J46" s="695" t="e">
        <f>E40+E46+E30</f>
        <v>#REF!</v>
      </c>
    </row>
    <row r="47" spans="1:10" ht="26.25" customHeight="1">
      <c r="A47" s="727" t="s">
        <v>744</v>
      </c>
      <c r="B47" s="736" t="s">
        <v>745</v>
      </c>
      <c r="C47" s="724" t="s">
        <v>29</v>
      </c>
      <c r="D47" s="733">
        <v>0</v>
      </c>
      <c r="E47" s="733">
        <v>0</v>
      </c>
      <c r="F47" s="1358">
        <v>515</v>
      </c>
      <c r="G47" s="695" t="s">
        <v>283</v>
      </c>
      <c r="H47" s="695"/>
    </row>
    <row r="48" spans="1:10" ht="10.5" customHeight="1">
      <c r="G48" s="695"/>
      <c r="H48" s="695"/>
    </row>
    <row r="49" spans="1:12" s="623" customFormat="1" ht="23.25" customHeight="1">
      <c r="A49" s="685" t="s">
        <v>632</v>
      </c>
      <c r="B49" s="685"/>
      <c r="C49" s="681"/>
      <c r="D49" s="682"/>
      <c r="E49" s="682"/>
      <c r="F49" s="1354"/>
      <c r="G49" s="682"/>
      <c r="H49" s="684"/>
      <c r="I49" s="682"/>
      <c r="J49" s="682"/>
      <c r="K49" s="682"/>
      <c r="L49" s="682"/>
    </row>
    <row r="50" spans="1:12" s="623" customFormat="1" ht="15" customHeight="1">
      <c r="A50" s="685" t="s">
        <v>662</v>
      </c>
      <c r="B50" s="686"/>
      <c r="C50" s="681"/>
      <c r="D50" s="682"/>
      <c r="E50" s="687" t="s">
        <v>634</v>
      </c>
      <c r="F50" s="1355"/>
      <c r="G50" s="682"/>
      <c r="I50" s="682"/>
      <c r="J50" s="682"/>
      <c r="K50" s="682"/>
      <c r="L50" s="682"/>
    </row>
    <row r="51" spans="1:12" ht="22.5" customHeight="1">
      <c r="A51" s="738"/>
      <c r="B51" s="1950"/>
      <c r="C51" s="1950"/>
      <c r="D51" s="1950"/>
      <c r="E51" s="1950"/>
    </row>
    <row r="52" spans="1:12" hidden="1">
      <c r="A52" s="739"/>
      <c r="B52" s="740"/>
      <c r="C52" s="740"/>
      <c r="D52" s="740"/>
      <c r="E52" s="740"/>
    </row>
    <row r="53" spans="1:12" ht="33" customHeight="1">
      <c r="A53" s="739"/>
      <c r="B53" s="1950"/>
      <c r="C53" s="1950"/>
      <c r="D53" s="1950"/>
      <c r="E53" s="1950"/>
    </row>
    <row r="54" spans="1:12" ht="60.75" customHeight="1">
      <c r="B54" s="1950"/>
      <c r="C54" s="1950"/>
      <c r="D54" s="1950"/>
      <c r="E54" s="1950"/>
    </row>
    <row r="62" spans="1:12" ht="15.6">
      <c r="B62" s="719"/>
    </row>
  </sheetData>
  <mergeCells count="6">
    <mergeCell ref="B54:E54"/>
    <mergeCell ref="A2:E3"/>
    <mergeCell ref="A4:E4"/>
    <mergeCell ref="A32:E32"/>
    <mergeCell ref="B51:E51"/>
    <mergeCell ref="B53:E53"/>
  </mergeCells>
  <printOptions horizontalCentered="1"/>
  <pageMargins left="0.78740157480314965" right="0.39370078740157483" top="0.78740157480314965" bottom="0.19685039370078741" header="0.51181102362204722" footer="0.51181102362204722"/>
  <pageSetup paperSize="9" scale="75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68"/>
  <sheetViews>
    <sheetView topLeftCell="D18" zoomScaleNormal="100" workbookViewId="0">
      <selection activeCell="K8" sqref="K8"/>
    </sheetView>
  </sheetViews>
  <sheetFormatPr defaultColWidth="9.109375" defaultRowHeight="15.6"/>
  <cols>
    <col min="1" max="1" width="6" style="13" customWidth="1"/>
    <col min="2" max="2" width="42.6640625" style="13" customWidth="1"/>
    <col min="3" max="3" width="7.6640625" style="13" customWidth="1"/>
    <col min="4" max="4" width="11.109375" style="13" customWidth="1"/>
    <col min="5" max="5" width="12.44140625" style="13" customWidth="1"/>
    <col min="6" max="6" width="12.88671875" style="13" customWidth="1"/>
    <col min="7" max="7" width="12.44140625" style="13" customWidth="1"/>
    <col min="8" max="8" width="11" style="13" customWidth="1"/>
    <col min="9" max="9" width="13.109375" style="13" customWidth="1"/>
    <col min="10" max="10" width="10.44140625" style="13" customWidth="1"/>
    <col min="11" max="11" width="12" style="13" customWidth="1"/>
    <col min="12" max="13" width="9" style="78" customWidth="1"/>
    <col min="14" max="14" width="12.5546875" style="78" bestFit="1" customWidth="1"/>
    <col min="15" max="15" width="9.109375" style="13"/>
    <col min="16" max="16" width="10.44140625" style="13" customWidth="1"/>
    <col min="17" max="18" width="9.109375" style="13"/>
    <col min="19" max="19" width="11.6640625" style="13" customWidth="1"/>
    <col min="20" max="16384" width="9.109375" style="13"/>
  </cols>
  <sheetData>
    <row r="1" spans="1:14">
      <c r="A1" s="49" t="s">
        <v>1103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97"/>
      <c r="M1" s="197"/>
      <c r="N1" s="197"/>
    </row>
    <row r="2" spans="1:14">
      <c r="A2" s="49" t="s">
        <v>628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197"/>
      <c r="M2" s="197"/>
      <c r="N2" s="197"/>
    </row>
    <row r="3" spans="1:14" ht="16.2" thickBot="1">
      <c r="A3" s="1220" t="s">
        <v>1106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197"/>
      <c r="M3" s="197"/>
      <c r="N3" s="197"/>
    </row>
    <row r="4" spans="1:14" ht="16.2" hidden="1" thickBot="1">
      <c r="B4" s="198" t="s">
        <v>286</v>
      </c>
      <c r="C4" s="198"/>
      <c r="D4" s="78"/>
      <c r="E4" s="78"/>
      <c r="F4" s="78"/>
      <c r="G4" s="78"/>
      <c r="H4" s="78"/>
      <c r="I4" s="78"/>
    </row>
    <row r="5" spans="1:14" ht="16.2" hidden="1" thickBot="1">
      <c r="B5" s="78"/>
      <c r="C5" s="78"/>
      <c r="D5" s="78"/>
      <c r="E5" s="78"/>
      <c r="H5" s="78"/>
      <c r="I5" s="78"/>
    </row>
    <row r="6" spans="1:14" ht="27.75" hidden="1" customHeight="1">
      <c r="B6" s="1975" t="s">
        <v>242</v>
      </c>
      <c r="C6" s="527"/>
      <c r="D6" s="2002" t="s">
        <v>243</v>
      </c>
      <c r="E6" s="2002" t="s">
        <v>288</v>
      </c>
      <c r="F6" s="2004" t="s">
        <v>245</v>
      </c>
    </row>
    <row r="7" spans="1:14" ht="48" hidden="1" customHeight="1">
      <c r="B7" s="1976"/>
      <c r="C7" s="528"/>
      <c r="D7" s="2003"/>
      <c r="E7" s="2003"/>
      <c r="F7" s="2004"/>
    </row>
    <row r="8" spans="1:14" ht="18.600000000000001" hidden="1" thickBot="1">
      <c r="B8" s="1976"/>
      <c r="C8" s="528"/>
      <c r="D8" s="199" t="s">
        <v>289</v>
      </c>
      <c r="E8" s="199" t="s">
        <v>290</v>
      </c>
      <c r="F8" s="35"/>
    </row>
    <row r="9" spans="1:14" ht="31.8" hidden="1" thickBot="1">
      <c r="B9" s="1977"/>
      <c r="C9" s="529"/>
      <c r="D9" s="35" t="s">
        <v>44</v>
      </c>
      <c r="E9" s="35" t="s">
        <v>35</v>
      </c>
      <c r="F9" s="35" t="s">
        <v>35</v>
      </c>
      <c r="G9" s="198" t="s">
        <v>241</v>
      </c>
    </row>
    <row r="10" spans="1:14" ht="16.2" hidden="1" thickBot="1">
      <c r="B10" s="35" t="s">
        <v>226</v>
      </c>
      <c r="C10" s="35"/>
      <c r="D10" s="200">
        <v>300621.82</v>
      </c>
      <c r="E10" s="200">
        <v>176.8</v>
      </c>
      <c r="F10" s="201">
        <v>592.41</v>
      </c>
      <c r="G10" s="202">
        <f>(D10*12/(F10-E10))</f>
        <v>8679.9206948822211</v>
      </c>
    </row>
    <row r="11" spans="1:14" ht="16.2" hidden="1" thickBot="1">
      <c r="B11" s="35" t="s">
        <v>211</v>
      </c>
      <c r="C11" s="35"/>
      <c r="D11" s="200">
        <v>490793.23</v>
      </c>
      <c r="E11" s="200">
        <v>180</v>
      </c>
      <c r="F11" s="201">
        <v>969.48</v>
      </c>
      <c r="G11" s="202">
        <f>(D11*12/(F11-E11))</f>
        <v>7459.9974160206712</v>
      </c>
      <c r="H11" s="203"/>
      <c r="I11" s="204"/>
      <c r="L11" s="205"/>
    </row>
    <row r="12" spans="1:14" ht="16.2" hidden="1" thickBot="1">
      <c r="B12" s="206" t="s">
        <v>253</v>
      </c>
      <c r="C12" s="206"/>
      <c r="D12" s="200">
        <v>680321</v>
      </c>
      <c r="E12" s="200">
        <v>210</v>
      </c>
      <c r="F12" s="201">
        <v>1441.35</v>
      </c>
      <c r="G12" s="202">
        <f>(D12*12/(F12-E12))</f>
        <v>6630.0012181751745</v>
      </c>
      <c r="H12" s="44" t="s">
        <v>291</v>
      </c>
    </row>
    <row r="13" spans="1:14" ht="16.2" hidden="1" thickBot="1">
      <c r="B13" s="35" t="s">
        <v>215</v>
      </c>
      <c r="C13" s="35"/>
      <c r="D13" s="200">
        <v>851305.82</v>
      </c>
      <c r="E13" s="200">
        <v>432</v>
      </c>
      <c r="F13" s="201">
        <v>2296.17</v>
      </c>
      <c r="G13" s="202">
        <f>(D13*12/(F13-E13))</f>
        <v>5480.0097845153605</v>
      </c>
      <c r="H13" s="207">
        <f>(365-53)*16</f>
        <v>4992</v>
      </c>
      <c r="I13" s="13" t="s">
        <v>285</v>
      </c>
      <c r="L13" s="78" t="s">
        <v>285</v>
      </c>
    </row>
    <row r="14" spans="1:14" ht="16.2" hidden="1" thickBot="1">
      <c r="B14" s="39"/>
      <c r="C14" s="39"/>
      <c r="D14" s="208"/>
      <c r="E14" s="208"/>
      <c r="F14" s="209"/>
      <c r="G14" s="202"/>
      <c r="H14" s="207"/>
    </row>
    <row r="15" spans="1:14" ht="16.2" thickBot="1">
      <c r="A15" s="2005"/>
      <c r="B15" s="2008" t="s">
        <v>292</v>
      </c>
      <c r="C15" s="531"/>
      <c r="D15" s="2011" t="s">
        <v>293</v>
      </c>
      <c r="E15" s="2012"/>
      <c r="F15" s="210" t="s">
        <v>294</v>
      </c>
      <c r="G15" s="211"/>
      <c r="H15" s="212"/>
      <c r="I15" s="213" t="s">
        <v>295</v>
      </c>
      <c r="J15" s="214"/>
      <c r="K15" s="214"/>
      <c r="L15" s="215"/>
      <c r="M15" s="216"/>
      <c r="N15" s="217"/>
    </row>
    <row r="16" spans="1:14" ht="27.6">
      <c r="A16" s="2006"/>
      <c r="B16" s="2009"/>
      <c r="C16" s="559"/>
      <c r="D16" s="2013"/>
      <c r="E16" s="2014"/>
      <c r="F16" s="218" t="s">
        <v>296</v>
      </c>
      <c r="G16" s="219"/>
      <c r="H16" s="220" t="s">
        <v>297</v>
      </c>
      <c r="I16" s="221" t="s">
        <v>298</v>
      </c>
      <c r="J16" s="222"/>
      <c r="K16" s="223"/>
      <c r="L16" s="604" t="s">
        <v>614</v>
      </c>
      <c r="M16" s="224"/>
      <c r="N16" s="1145"/>
    </row>
    <row r="17" spans="1:19" s="233" customFormat="1" ht="80.25" customHeight="1">
      <c r="A17" s="2007"/>
      <c r="B17" s="2010"/>
      <c r="C17" s="530"/>
      <c r="D17" s="79" t="s">
        <v>299</v>
      </c>
      <c r="E17" s="225" t="s">
        <v>300</v>
      </c>
      <c r="F17" s="226" t="s">
        <v>301</v>
      </c>
      <c r="G17" s="9" t="s">
        <v>302</v>
      </c>
      <c r="H17" s="227" t="s">
        <v>303</v>
      </c>
      <c r="I17" s="228" t="s">
        <v>304</v>
      </c>
      <c r="J17" s="79" t="s">
        <v>305</v>
      </c>
      <c r="K17" s="229" t="s">
        <v>103</v>
      </c>
      <c r="L17" s="230" t="s">
        <v>626</v>
      </c>
      <c r="M17" s="231" t="s">
        <v>305</v>
      </c>
      <c r="N17" s="232" t="s">
        <v>103</v>
      </c>
    </row>
    <row r="18" spans="1:19" s="245" customFormat="1" ht="28.5" customHeight="1">
      <c r="A18" s="234">
        <v>1</v>
      </c>
      <c r="B18" s="235">
        <v>2</v>
      </c>
      <c r="C18" s="235"/>
      <c r="D18" s="236">
        <v>3</v>
      </c>
      <c r="E18" s="237">
        <v>4</v>
      </c>
      <c r="F18" s="238">
        <v>5</v>
      </c>
      <c r="G18" s="236">
        <v>6</v>
      </c>
      <c r="H18" s="239">
        <v>7</v>
      </c>
      <c r="I18" s="240" t="s">
        <v>306</v>
      </c>
      <c r="J18" s="241" t="s">
        <v>307</v>
      </c>
      <c r="K18" s="242" t="s">
        <v>308</v>
      </c>
      <c r="L18" s="238">
        <v>11</v>
      </c>
      <c r="M18" s="236">
        <v>12</v>
      </c>
      <c r="N18" s="239">
        <v>13</v>
      </c>
      <c r="O18" s="243" t="s">
        <v>309</v>
      </c>
      <c r="P18" s="244"/>
      <c r="Q18" s="1149" t="s">
        <v>1083</v>
      </c>
      <c r="R18" s="1150"/>
      <c r="S18" s="1151"/>
    </row>
    <row r="19" spans="1:19" ht="17.399999999999999">
      <c r="A19" s="246" t="s">
        <v>310</v>
      </c>
      <c r="B19" s="183" t="s">
        <v>311</v>
      </c>
      <c r="C19" s="183"/>
      <c r="D19" s="247"/>
      <c r="E19" s="248"/>
      <c r="F19" s="249"/>
      <c r="G19" s="247"/>
      <c r="H19" s="250"/>
      <c r="I19" s="251" t="e">
        <f>'НВВ на содержание'!E8</f>
        <v>#REF!</v>
      </c>
      <c r="J19" s="252" t="e">
        <f>E41*E42/1000</f>
        <v>#REF!</v>
      </c>
      <c r="K19" s="253" t="e">
        <f>ROUND((I19+J19),1)</f>
        <v>#REF!</v>
      </c>
      <c r="L19" s="254"/>
      <c r="M19" s="255"/>
      <c r="N19" s="256">
        <f>N23-N31+N35</f>
        <v>14422.644865044</v>
      </c>
      <c r="O19" s="243" t="e">
        <f>$E$41*$E$42/1000</f>
        <v>#REF!</v>
      </c>
      <c r="Q19" s="1149">
        <f>N23+K35-N32-K34</f>
        <v>14344.047118024</v>
      </c>
      <c r="R19" s="1151"/>
      <c r="S19" s="1152"/>
    </row>
    <row r="20" spans="1:19" ht="16.2" thickBot="1">
      <c r="A20" s="257"/>
      <c r="B20" s="247" t="s">
        <v>312</v>
      </c>
      <c r="C20" s="247"/>
      <c r="D20" s="247"/>
      <c r="E20" s="248"/>
      <c r="F20" s="258"/>
      <c r="G20" s="259"/>
      <c r="H20" s="260"/>
      <c r="I20" s="577">
        <f>I23+I35-I31</f>
        <v>13573.639309743998</v>
      </c>
      <c r="J20" s="261">
        <f>ROUND((J23+J35-J31),1)</f>
        <v>2864</v>
      </c>
      <c r="K20" s="253">
        <f>ROUND((I20+J20),1)</f>
        <v>16437.599999999999</v>
      </c>
      <c r="L20" s="262"/>
      <c r="M20" s="181"/>
      <c r="N20" s="263"/>
      <c r="Q20" s="243"/>
    </row>
    <row r="21" spans="1:19" ht="1.5" hidden="1" customHeight="1">
      <c r="A21" s="264"/>
      <c r="B21" s="265" t="s">
        <v>313</v>
      </c>
      <c r="C21" s="265"/>
      <c r="D21" s="265"/>
      <c r="E21" s="266"/>
      <c r="F21" s="267"/>
      <c r="G21" s="268"/>
      <c r="H21" s="269"/>
      <c r="I21" s="270" t="e">
        <f>K19-K20</f>
        <v>#REF!</v>
      </c>
      <c r="J21" s="271"/>
      <c r="K21" s="272"/>
      <c r="L21" s="273"/>
      <c r="M21" s="274"/>
      <c r="N21" s="275"/>
    </row>
    <row r="22" spans="1:19" ht="15.75" customHeight="1">
      <c r="A22" s="1989" t="s">
        <v>314</v>
      </c>
      <c r="B22" s="1991" t="s">
        <v>1076</v>
      </c>
      <c r="C22" s="1992"/>
      <c r="D22" s="1993"/>
      <c r="E22" s="1993"/>
      <c r="F22" s="276"/>
      <c r="G22" s="277"/>
      <c r="H22" s="278"/>
      <c r="I22" s="279" t="s">
        <v>315</v>
      </c>
      <c r="J22" s="280"/>
      <c r="K22" s="281"/>
      <c r="L22" s="282" t="s">
        <v>316</v>
      </c>
      <c r="M22" s="280"/>
      <c r="N22" s="283"/>
    </row>
    <row r="23" spans="1:19" ht="24" customHeight="1">
      <c r="A23" s="1990"/>
      <c r="B23" s="1994"/>
      <c r="C23" s="1995"/>
      <c r="D23" s="1995"/>
      <c r="E23" s="1995"/>
      <c r="F23" s="284"/>
      <c r="G23" s="285"/>
      <c r="H23" s="286"/>
      <c r="I23" s="287">
        <f>SUM(I25:I29)</f>
        <v>13359.547215359999</v>
      </c>
      <c r="J23" s="288">
        <f>SUM(J25:J29)</f>
        <v>3187.1466742999996</v>
      </c>
      <c r="K23" s="289">
        <f>I23+J23</f>
        <v>16546.693889659997</v>
      </c>
      <c r="L23" s="262"/>
      <c r="M23" s="181"/>
      <c r="N23" s="289">
        <f>SUM(N25:N29)</f>
        <v>14459.599999999999</v>
      </c>
      <c r="O23" s="564">
        <f>N23-K23</f>
        <v>-2087.0938896599982</v>
      </c>
      <c r="P23" s="578">
        <f>N19-K20</f>
        <v>-2014.9551349559988</v>
      </c>
    </row>
    <row r="24" spans="1:19" ht="27.75" customHeight="1">
      <c r="A24" s="249"/>
      <c r="B24" s="247" t="s">
        <v>317</v>
      </c>
      <c r="C24" s="560" t="s">
        <v>616</v>
      </c>
      <c r="D24" s="1158">
        <f>SUM(D25:D29)</f>
        <v>1.3779999999999999</v>
      </c>
      <c r="E24" s="1159">
        <f>SUM(E25:E29)</f>
        <v>9367.7000000000007</v>
      </c>
      <c r="F24" s="249"/>
      <c r="G24" s="247"/>
      <c r="H24" s="250"/>
      <c r="I24" s="287"/>
      <c r="J24" s="288"/>
      <c r="K24" s="289"/>
      <c r="L24" s="262"/>
      <c r="M24" s="181"/>
      <c r="N24" s="289"/>
    </row>
    <row r="25" spans="1:19">
      <c r="A25" s="257"/>
      <c r="B25" s="291" t="s">
        <v>1075</v>
      </c>
      <c r="C25" s="1154">
        <f>E25/D25</f>
        <v>7115.3846153846162</v>
      </c>
      <c r="D25" s="1221">
        <v>0.57199999999999995</v>
      </c>
      <c r="E25" s="1222">
        <f>2033.37+2036.63</f>
        <v>4070</v>
      </c>
      <c r="F25" s="292">
        <f>E63</f>
        <v>427956.36</v>
      </c>
      <c r="G25" s="293">
        <f>'изм.приказ 27 от 28.04.2011'!D42</f>
        <v>179.28</v>
      </c>
      <c r="H25" s="294">
        <f>'изм.приказ 27 от 28.04.2011'!F42</f>
        <v>789.41</v>
      </c>
      <c r="I25" s="520">
        <f>D25*F25*12/1000</f>
        <v>2937.4924550399996</v>
      </c>
      <c r="J25" s="520">
        <f>E25*G25/1000</f>
        <v>729.66959999999995</v>
      </c>
      <c r="K25" s="521">
        <f>I25+J25</f>
        <v>3667.1620550399994</v>
      </c>
      <c r="L25" s="1141"/>
      <c r="M25" s="520"/>
      <c r="N25" s="521">
        <f>ROUND((E25*H25/1000),1)</f>
        <v>3212.9</v>
      </c>
      <c r="O25" s="1230">
        <f>'2012г.об.под факт2010'!N23-'послед2012г.об.по стр-ре СЭ (2)'!N23</f>
        <v>1091.2000000000007</v>
      </c>
    </row>
    <row r="26" spans="1:19">
      <c r="A26" s="257"/>
      <c r="B26" s="291" t="s">
        <v>318</v>
      </c>
      <c r="C26" s="1154">
        <f>E26/D26</f>
        <v>6734.2281879194634</v>
      </c>
      <c r="D26" s="1158">
        <v>0.745</v>
      </c>
      <c r="E26" s="1222">
        <f>2506.49+2510.51</f>
        <v>5017</v>
      </c>
      <c r="F26" s="292">
        <f>E65</f>
        <v>1110334.72</v>
      </c>
      <c r="G26" s="293">
        <f>'изм.приказ 27 от 28.04.2011'!D44</f>
        <v>469.5</v>
      </c>
      <c r="H26" s="294">
        <f>'изм.приказ 27 от 28.04.2011'!F44</f>
        <v>2146.56</v>
      </c>
      <c r="I26" s="520">
        <f>D26*F26*12/1000</f>
        <v>9926.3923967999999</v>
      </c>
      <c r="J26" s="520">
        <f>E26*G26/1000</f>
        <v>2355.4814999999999</v>
      </c>
      <c r="K26" s="521">
        <f>I26+J26</f>
        <v>12281.8738968</v>
      </c>
      <c r="L26" s="1141"/>
      <c r="M26" s="520"/>
      <c r="N26" s="521">
        <f>ROUND((E26*H26/1000),1)</f>
        <v>10769.3</v>
      </c>
      <c r="O26" s="1231" t="s">
        <v>1105</v>
      </c>
    </row>
    <row r="27" spans="1:19">
      <c r="A27" s="257"/>
      <c r="B27" s="295" t="s">
        <v>1074</v>
      </c>
      <c r="C27" s="1154">
        <f>E27/D27</f>
        <v>6600</v>
      </c>
      <c r="D27" s="1158">
        <v>0.02</v>
      </c>
      <c r="E27" s="1159">
        <f>65.4+66.6</f>
        <v>132</v>
      </c>
      <c r="F27" s="292">
        <f>'изм.приказ 27 от 28.04.2011'!B45</f>
        <v>2019526.48</v>
      </c>
      <c r="G27" s="293">
        <f>'изм.приказ 27 от 28.04.2011'!D45</f>
        <v>535.79999999999995</v>
      </c>
      <c r="H27" s="294">
        <f>'изм.приказ 27 от 28.04.2011'!F45</f>
        <v>3325.91</v>
      </c>
      <c r="I27" s="520">
        <f>D27*F27*12/1000</f>
        <v>484.68635519999998</v>
      </c>
      <c r="J27" s="520">
        <f>E27*G27/1000</f>
        <v>70.725599999999986</v>
      </c>
      <c r="K27" s="521">
        <f>I27+J27</f>
        <v>555.41195519999997</v>
      </c>
      <c r="L27" s="1141"/>
      <c r="M27" s="520"/>
      <c r="N27" s="521">
        <f>ROUND((E27*H27/1000),1)</f>
        <v>439</v>
      </c>
    </row>
    <row r="28" spans="1:19" s="358" customFormat="1" ht="28.2">
      <c r="A28" s="257"/>
      <c r="B28" s="295" t="s">
        <v>1073</v>
      </c>
      <c r="C28" s="1154">
        <f>E28/D28</f>
        <v>5566.6666666666661</v>
      </c>
      <c r="D28" s="1158">
        <f>0.003</f>
        <v>3.0000000000000001E-3</v>
      </c>
      <c r="E28" s="1159">
        <f>7.75+8.95</f>
        <v>16.7</v>
      </c>
      <c r="F28" s="292">
        <f>'изм.приказ 27 от 28.04.2011'!B46</f>
        <v>22308.959999999999</v>
      </c>
      <c r="G28" s="293">
        <f>'изм.приказ 27 от 28.04.2011'!D46</f>
        <v>210.28899999999999</v>
      </c>
      <c r="H28" s="294">
        <f>'изм.приказ 27 от 28.04.2011'!F46</f>
        <v>258.20999999999998</v>
      </c>
      <c r="I28" s="520">
        <f>D28*F28*12/1000</f>
        <v>0.80312256000000004</v>
      </c>
      <c r="J28" s="520">
        <f>E28*G28/1000</f>
        <v>3.5118262999999996</v>
      </c>
      <c r="K28" s="521">
        <f>I28+J28</f>
        <v>4.3149488599999994</v>
      </c>
      <c r="L28" s="1141"/>
      <c r="M28" s="520"/>
      <c r="N28" s="521">
        <f>ROUND((E28*H28/1000),1)</f>
        <v>4.3</v>
      </c>
    </row>
    <row r="29" spans="1:19" s="358" customFormat="1" ht="28.8" thickBot="1">
      <c r="A29" s="368"/>
      <c r="B29" s="295" t="s">
        <v>319</v>
      </c>
      <c r="C29" s="582">
        <f>E29/D29</f>
        <v>3473.6842105263158</v>
      </c>
      <c r="D29" s="1223">
        <f>0.038</f>
        <v>3.7999999999999999E-2</v>
      </c>
      <c r="E29" s="1224">
        <f>61.29+70.71</f>
        <v>132</v>
      </c>
      <c r="F29" s="372">
        <f>F28</f>
        <v>22308.959999999999</v>
      </c>
      <c r="G29" s="373">
        <f>G28</f>
        <v>210.28899999999999</v>
      </c>
      <c r="H29" s="374">
        <f>G67</f>
        <v>258.20999999999998</v>
      </c>
      <c r="I29" s="298">
        <f>D29*F29*12/1000</f>
        <v>10.17288576</v>
      </c>
      <c r="J29" s="299">
        <f>E29*G29/1000</f>
        <v>27.758147999999998</v>
      </c>
      <c r="K29" s="300">
        <f>I29+J29</f>
        <v>37.931033759999998</v>
      </c>
      <c r="L29" s="298"/>
      <c r="M29" s="1142"/>
      <c r="N29" s="300">
        <f>ROUND((E29*H29/1000),1)</f>
        <v>34.1</v>
      </c>
      <c r="O29" s="13"/>
    </row>
    <row r="30" spans="1:19" ht="16.5" customHeight="1">
      <c r="A30" s="1996" t="s">
        <v>320</v>
      </c>
      <c r="B30" s="1997" t="s">
        <v>1077</v>
      </c>
      <c r="C30" s="1155"/>
      <c r="D30" s="301" t="s">
        <v>321</v>
      </c>
      <c r="E30" s="332"/>
      <c r="F30" s="334" t="s">
        <v>322</v>
      </c>
      <c r="G30" s="301"/>
      <c r="H30" s="301"/>
      <c r="I30" s="302" t="s">
        <v>315</v>
      </c>
      <c r="J30" s="303"/>
      <c r="K30" s="304"/>
      <c r="L30" s="282" t="s">
        <v>316</v>
      </c>
      <c r="M30" s="303"/>
      <c r="N30" s="304"/>
    </row>
    <row r="31" spans="1:19" ht="27.6">
      <c r="A31" s="1990"/>
      <c r="B31" s="1998"/>
      <c r="C31" s="1156"/>
      <c r="D31" s="231" t="s">
        <v>299</v>
      </c>
      <c r="E31" s="333" t="s">
        <v>300</v>
      </c>
      <c r="F31" s="335" t="s">
        <v>323</v>
      </c>
      <c r="G31" s="305" t="s">
        <v>35</v>
      </c>
      <c r="H31" s="376" t="s">
        <v>508</v>
      </c>
      <c r="I31" s="1141">
        <f>SUM(I32:I34)</f>
        <v>2325.3075864800003</v>
      </c>
      <c r="J31" s="520">
        <f>SUM(J32:J34)</f>
        <v>1689.7856701799999</v>
      </c>
      <c r="K31" s="1153">
        <f>SUM(K32:K34)</f>
        <v>4015.09325666</v>
      </c>
      <c r="L31" s="570">
        <f>SUM(L34:L34)</f>
        <v>0</v>
      </c>
      <c r="M31" s="431">
        <f>SUM(M34:M34)</f>
        <v>0</v>
      </c>
      <c r="N31" s="583">
        <f>SUM(N32:N34)</f>
        <v>3943.6471237199994</v>
      </c>
    </row>
    <row r="32" spans="1:19" ht="22.5" customHeight="1">
      <c r="A32" s="306">
        <v>1</v>
      </c>
      <c r="B32" s="247" t="s">
        <v>1107</v>
      </c>
      <c r="C32" s="581">
        <f>E32/D32</f>
        <v>7183.2162162162167</v>
      </c>
      <c r="D32" s="1235">
        <v>7.3999999999999996E-2</v>
      </c>
      <c r="E32" s="1222">
        <v>531.55799999999999</v>
      </c>
      <c r="F32" s="568">
        <v>279175.21000000002</v>
      </c>
      <c r="G32" s="569">
        <v>108.71</v>
      </c>
      <c r="H32" s="1148">
        <f>K32/E32*1000+12.17</f>
        <v>587.25918435993799</v>
      </c>
      <c r="I32" s="262">
        <f>$D32*$F32*12/1000</f>
        <v>247.90758647999999</v>
      </c>
      <c r="J32" s="181">
        <f>$E32*$G32/1000</f>
        <v>57.785670179999997</v>
      </c>
      <c r="K32" s="263">
        <f>I32+J32</f>
        <v>305.69325665999997</v>
      </c>
      <c r="L32" s="431"/>
      <c r="M32" s="431"/>
      <c r="N32" s="558">
        <f>E32*H32/1000</f>
        <v>312.16231751999993</v>
      </c>
    </row>
    <row r="33" spans="1:15" ht="22.5" customHeight="1">
      <c r="A33" s="1236">
        <v>2</v>
      </c>
      <c r="B33" s="1237" t="s">
        <v>1112</v>
      </c>
      <c r="C33" s="1238">
        <f>E33/D33</f>
        <v>7110.9999999999991</v>
      </c>
      <c r="D33" s="1233">
        <f>'П1.30 - 07.06.11г.'!D14</f>
        <v>6.5000000000000002E-2</v>
      </c>
      <c r="E33" s="1138">
        <f>'П1.30 - 07.06.11г.'!C14</f>
        <v>462.21499999999997</v>
      </c>
      <c r="F33" s="568"/>
      <c r="G33" s="569"/>
      <c r="H33" s="1148"/>
      <c r="I33" s="520">
        <f>ROUND(($D$33*$F$33*12/1000),1)</f>
        <v>0</v>
      </c>
      <c r="J33" s="520">
        <f>ROUND(($E$33*$G$33/1000),1)</f>
        <v>0</v>
      </c>
      <c r="K33" s="521">
        <f>I33+J33</f>
        <v>0</v>
      </c>
      <c r="L33" s="431"/>
      <c r="M33" s="431"/>
      <c r="N33" s="558">
        <f>E33*H33/1000</f>
        <v>0</v>
      </c>
    </row>
    <row r="34" spans="1:15" ht="22.5" customHeight="1" thickBot="1">
      <c r="A34" s="306">
        <v>3</v>
      </c>
      <c r="B34" s="247" t="s">
        <v>1108</v>
      </c>
      <c r="C34" s="581">
        <f>E34/D34</f>
        <v>8745.2795698924729</v>
      </c>
      <c r="D34" s="1233">
        <v>9.2999999999999999E-2</v>
      </c>
      <c r="E34" s="1137">
        <v>813.31100000000004</v>
      </c>
      <c r="F34" s="568">
        <v>1861465.03</v>
      </c>
      <c r="G34" s="569">
        <v>2006.61</v>
      </c>
      <c r="H34" s="1148">
        <f>K34/E34*1000-95.8</f>
        <v>4465.0629417283171</v>
      </c>
      <c r="I34" s="520">
        <f>ROUND(($D$34*$F$34*12/1000),1)</f>
        <v>2077.4</v>
      </c>
      <c r="J34" s="520">
        <f>ROUND(($E$34*$G$34/1000),1)</f>
        <v>1632</v>
      </c>
      <c r="K34" s="521">
        <f>I34+J34</f>
        <v>3709.4</v>
      </c>
      <c r="L34" s="431"/>
      <c r="M34" s="431"/>
      <c r="N34" s="558">
        <f>E34*H34/1000</f>
        <v>3631.4848061999996</v>
      </c>
    </row>
    <row r="35" spans="1:15" ht="47.4" thickBot="1">
      <c r="A35" s="592" t="s">
        <v>325</v>
      </c>
      <c r="B35" s="593" t="s">
        <v>1078</v>
      </c>
      <c r="C35" s="1157"/>
      <c r="D35" s="594"/>
      <c r="E35" s="595"/>
      <c r="F35" s="596" t="s">
        <v>323</v>
      </c>
      <c r="G35" s="597" t="s">
        <v>35</v>
      </c>
      <c r="H35" s="598" t="s">
        <v>35</v>
      </c>
      <c r="I35" s="599">
        <f>SUM(I36:I38)</f>
        <v>2539.3996808640004</v>
      </c>
      <c r="J35" s="600">
        <f>SUM(J36:J38)</f>
        <v>1366.6097546799999</v>
      </c>
      <c r="K35" s="601">
        <f>SUM(K36:K38)</f>
        <v>3906.0094355440006</v>
      </c>
      <c r="L35" s="602">
        <f>SUM(L37:L38)</f>
        <v>0</v>
      </c>
      <c r="M35" s="603">
        <f>SUM(M37:M38)</f>
        <v>0</v>
      </c>
      <c r="N35" s="601">
        <f>SUM(N36:N38)</f>
        <v>3906.6919887640006</v>
      </c>
    </row>
    <row r="36" spans="1:15">
      <c r="A36" s="584">
        <v>1</v>
      </c>
      <c r="B36" s="330" t="s">
        <v>1111</v>
      </c>
      <c r="C36" s="585">
        <f>E36/D36</f>
        <v>7638.9249261348386</v>
      </c>
      <c r="D36" s="1232">
        <f>D24+D37+D38+D32+D34+G41-D33</f>
        <v>2.9783999999999997</v>
      </c>
      <c r="E36" s="1143">
        <f>E24+E37+E38+E32+E34+E41-E33</f>
        <v>22751.774000000001</v>
      </c>
      <c r="F36" s="586">
        <v>451.08</v>
      </c>
      <c r="G36" s="587">
        <v>0.82</v>
      </c>
      <c r="H36" s="1148">
        <f>K36/E36*1000+0.03</f>
        <v>1.5586023298227203</v>
      </c>
      <c r="I36" s="588">
        <f>$D$36*$F$36*12/1000</f>
        <v>16.121960063999996</v>
      </c>
      <c r="J36" s="589">
        <f>$E$36*$G$36/1000</f>
        <v>18.65645468</v>
      </c>
      <c r="K36" s="590">
        <f>I36+J36</f>
        <v>34.778414743999996</v>
      </c>
      <c r="L36" s="591"/>
      <c r="M36" s="589"/>
      <c r="N36" s="590">
        <f>E36*H36/1000</f>
        <v>35.460967963999998</v>
      </c>
    </row>
    <row r="37" spans="1:15">
      <c r="A37" s="331">
        <v>2</v>
      </c>
      <c r="B37" s="247" t="s">
        <v>1109</v>
      </c>
      <c r="C37" s="581">
        <f>E37/D37</f>
        <v>8642.2018348623842</v>
      </c>
      <c r="D37" s="1235">
        <v>1.0900000000000001</v>
      </c>
      <c r="E37" s="1239">
        <v>9420</v>
      </c>
      <c r="F37" s="571">
        <v>169906.8</v>
      </c>
      <c r="G37" s="572">
        <v>114.55</v>
      </c>
      <c r="H37" s="573">
        <f>K37/E37*1000</f>
        <v>350.47154394904464</v>
      </c>
      <c r="I37" s="262">
        <f>$D37*$F37*12/1000</f>
        <v>2222.380944</v>
      </c>
      <c r="J37" s="181">
        <f>$E37*$G37/1000</f>
        <v>1079.0609999999999</v>
      </c>
      <c r="K37" s="263">
        <f>I37+J37</f>
        <v>3301.4419440000001</v>
      </c>
      <c r="L37" s="371"/>
      <c r="M37" s="181"/>
      <c r="N37" s="263">
        <f>E37*H37/1000</f>
        <v>3301.4419440000006</v>
      </c>
    </row>
    <row r="38" spans="1:15" ht="32.25" customHeight="1" thickBot="1">
      <c r="A38" s="307">
        <v>3</v>
      </c>
      <c r="B38" s="1240" t="s">
        <v>1110</v>
      </c>
      <c r="C38" s="582">
        <f>E38/D38</f>
        <v>6607.8431372549021</v>
      </c>
      <c r="D38" s="1234">
        <v>0.10199999999999999</v>
      </c>
      <c r="E38" s="562">
        <v>674</v>
      </c>
      <c r="F38" s="574">
        <v>245830.7</v>
      </c>
      <c r="G38" s="575">
        <v>398.95</v>
      </c>
      <c r="H38" s="576">
        <f>K38/E38*1000</f>
        <v>845.38438694362014</v>
      </c>
      <c r="I38" s="567">
        <f>$D$38*$F$38*12/1000</f>
        <v>300.8967768</v>
      </c>
      <c r="J38" s="566">
        <f>$E$38*$G$38/1000</f>
        <v>268.89229999999998</v>
      </c>
      <c r="K38" s="605">
        <f>I38+J38</f>
        <v>569.78907679999998</v>
      </c>
      <c r="L38" s="579"/>
      <c r="M38" s="580"/>
      <c r="N38" s="300">
        <f>E38*H38/1000</f>
        <v>569.78907679999998</v>
      </c>
    </row>
    <row r="39" spans="1:15" hidden="1">
      <c r="F39" s="78"/>
      <c r="G39" s="78"/>
      <c r="H39" s="78"/>
      <c r="L39" s="13"/>
      <c r="M39" s="13"/>
      <c r="N39" s="13"/>
    </row>
    <row r="40" spans="1:15">
      <c r="B40" s="44" t="s">
        <v>257</v>
      </c>
      <c r="C40" s="44"/>
      <c r="L40" s="13"/>
      <c r="M40" s="13"/>
      <c r="N40" s="13"/>
    </row>
    <row r="41" spans="1:15">
      <c r="D41" s="44" t="s">
        <v>1082</v>
      </c>
      <c r="E41" s="1229">
        <v>2407.42</v>
      </c>
      <c r="F41" s="13" t="s">
        <v>326</v>
      </c>
      <c r="G41" s="13">
        <v>0.30640000000000001</v>
      </c>
      <c r="H41" s="563">
        <f>E37+E38+E29+E41</f>
        <v>12633.42</v>
      </c>
      <c r="L41" s="13"/>
      <c r="M41" s="13"/>
      <c r="N41" s="13"/>
    </row>
    <row r="42" spans="1:15">
      <c r="D42" s="44" t="s">
        <v>327</v>
      </c>
      <c r="E42" s="308" t="e">
        <f>#REF!</f>
        <v>#REF!</v>
      </c>
      <c r="F42" s="13" t="s">
        <v>328</v>
      </c>
      <c r="L42" s="13"/>
      <c r="M42" s="13"/>
      <c r="N42" s="13"/>
    </row>
    <row r="43" spans="1:15" hidden="1"/>
    <row r="44" spans="1:15" hidden="1">
      <c r="E44" s="13" t="s">
        <v>328</v>
      </c>
      <c r="G44" s="377" t="s">
        <v>623</v>
      </c>
      <c r="H44" s="377"/>
      <c r="I44" s="377"/>
      <c r="J44" s="377"/>
      <c r="K44" s="377"/>
    </row>
    <row r="45" spans="1:15" hidden="1">
      <c r="E45" s="384"/>
      <c r="F45" s="383"/>
      <c r="G45" s="378" t="s">
        <v>322</v>
      </c>
      <c r="H45" s="378"/>
      <c r="I45" s="378"/>
      <c r="J45" s="382" t="s">
        <v>509</v>
      </c>
      <c r="K45" s="382"/>
      <c r="L45" s="13"/>
      <c r="M45" s="13"/>
      <c r="N45" s="13"/>
      <c r="O45" s="309"/>
    </row>
    <row r="46" spans="1:15" ht="27" hidden="1">
      <c r="E46" s="384"/>
      <c r="F46" s="383"/>
      <c r="G46" s="379" t="s">
        <v>323</v>
      </c>
      <c r="H46" s="379" t="s">
        <v>35</v>
      </c>
      <c r="I46" s="380" t="s">
        <v>508</v>
      </c>
      <c r="J46" s="377"/>
      <c r="K46" s="377"/>
      <c r="L46" s="13"/>
      <c r="M46" s="13"/>
      <c r="N46" s="13"/>
      <c r="O46" s="310"/>
    </row>
    <row r="47" spans="1:15" hidden="1">
      <c r="E47" s="384"/>
      <c r="F47" s="383"/>
      <c r="G47" s="125"/>
      <c r="H47" s="125"/>
      <c r="I47" s="125"/>
      <c r="J47" s="377"/>
      <c r="K47" s="377"/>
      <c r="L47" s="13"/>
      <c r="M47" s="13"/>
      <c r="N47" s="13"/>
      <c r="O47" s="309"/>
    </row>
    <row r="48" spans="1:15" hidden="1">
      <c r="E48" s="384"/>
      <c r="F48" s="383" t="s">
        <v>624</v>
      </c>
      <c r="G48" s="125"/>
      <c r="H48" s="125"/>
      <c r="I48" s="125"/>
      <c r="J48" s="377"/>
      <c r="K48" s="377"/>
    </row>
    <row r="49" spans="2:14" hidden="1">
      <c r="E49" s="384"/>
      <c r="F49" s="383" t="s">
        <v>324</v>
      </c>
      <c r="G49" s="381"/>
      <c r="H49" s="381"/>
      <c r="I49" s="381"/>
      <c r="J49" s="377"/>
      <c r="K49" s="381"/>
    </row>
    <row r="50" spans="2:14" hidden="1">
      <c r="E50" s="384"/>
      <c r="F50" s="383" t="s">
        <v>350</v>
      </c>
      <c r="G50" s="381"/>
      <c r="H50" s="381"/>
      <c r="I50" s="381"/>
      <c r="J50" s="377"/>
      <c r="K50" s="381"/>
    </row>
    <row r="51" spans="2:14" hidden="1">
      <c r="E51" s="384"/>
      <c r="F51" s="383" t="s">
        <v>621</v>
      </c>
      <c r="G51" s="381"/>
      <c r="H51" s="381"/>
      <c r="I51" s="381"/>
      <c r="J51" s="377"/>
      <c r="K51" s="381"/>
    </row>
    <row r="52" spans="2:14" hidden="1">
      <c r="E52" s="384"/>
      <c r="F52" s="383" t="s">
        <v>186</v>
      </c>
      <c r="G52" s="381"/>
      <c r="H52" s="381"/>
      <c r="I52" s="381"/>
      <c r="J52" s="377"/>
      <c r="K52" s="381"/>
    </row>
    <row r="53" spans="2:14" hidden="1"/>
    <row r="54" spans="2:14" hidden="1"/>
    <row r="55" spans="2:14" hidden="1">
      <c r="K55" s="78"/>
      <c r="L55" s="13"/>
      <c r="M55" s="13"/>
      <c r="N55" s="13"/>
    </row>
    <row r="56" spans="2:14" hidden="1"/>
    <row r="57" spans="2:14" hidden="1"/>
    <row r="58" spans="2:14" ht="12.75" customHeight="1">
      <c r="B58" s="4" t="s">
        <v>631</v>
      </c>
      <c r="C58" s="4"/>
      <c r="D58" s="4"/>
      <c r="E58" s="4"/>
      <c r="F58" s="4"/>
      <c r="G58" s="100"/>
      <c r="H58" s="101"/>
    </row>
    <row r="59" spans="2:14">
      <c r="B59" s="1987" t="s">
        <v>242</v>
      </c>
      <c r="C59" s="6"/>
      <c r="D59" s="6"/>
      <c r="E59" s="2000" t="s">
        <v>243</v>
      </c>
      <c r="F59" s="17" t="s">
        <v>244</v>
      </c>
      <c r="G59" s="1987" t="s">
        <v>245</v>
      </c>
      <c r="H59" s="4"/>
    </row>
    <row r="60" spans="2:14" ht="66.599999999999994">
      <c r="B60" s="1999"/>
      <c r="C60" s="11"/>
      <c r="D60" s="11"/>
      <c r="E60" s="2001"/>
      <c r="F60" s="17" t="s">
        <v>246</v>
      </c>
      <c r="G60" s="1988"/>
      <c r="H60" s="4"/>
    </row>
    <row r="61" spans="2:14" ht="16.8">
      <c r="B61" s="1999"/>
      <c r="C61" s="11"/>
      <c r="D61" s="11"/>
      <c r="E61" s="81" t="s">
        <v>247</v>
      </c>
      <c r="F61" s="81" t="s">
        <v>248</v>
      </c>
      <c r="G61" s="9"/>
      <c r="H61" s="101" t="s">
        <v>241</v>
      </c>
    </row>
    <row r="62" spans="2:14" ht="15.75" customHeight="1">
      <c r="B62" s="1988"/>
      <c r="C62" s="7"/>
      <c r="D62" s="7"/>
      <c r="E62" s="9" t="s">
        <v>44</v>
      </c>
      <c r="F62" s="9" t="s">
        <v>249</v>
      </c>
      <c r="G62" s="9" t="s">
        <v>249</v>
      </c>
      <c r="H62" s="100"/>
    </row>
    <row r="63" spans="2:14">
      <c r="B63" s="9" t="s">
        <v>226</v>
      </c>
      <c r="C63" s="538"/>
      <c r="D63" s="538"/>
      <c r="E63" s="1227">
        <f>'изм.приказ 27 от 28.04.2011'!B42</f>
        <v>427956.36</v>
      </c>
      <c r="F63" s="1227">
        <f>'изм.приказ 27 от 28.04.2011'!D42</f>
        <v>179.28</v>
      </c>
      <c r="G63" s="1227">
        <f>'изм.приказ 27 от 28.04.2011'!F42</f>
        <v>789.41</v>
      </c>
      <c r="H63" s="540">
        <f>(E63*12/(G63-F63))</f>
        <v>8417.0198482290671</v>
      </c>
    </row>
    <row r="64" spans="2:14">
      <c r="B64" s="9" t="s">
        <v>211</v>
      </c>
      <c r="C64" s="9"/>
      <c r="D64" s="1163"/>
      <c r="E64" s="191">
        <f>'изм.приказ 27 от 28.04.2011'!B43</f>
        <v>781756.21</v>
      </c>
      <c r="F64" s="191">
        <f>'изм.приказ 27 от 28.04.2011'!D43</f>
        <v>191.71</v>
      </c>
      <c r="G64" s="191">
        <f>'изм.приказ 27 от 28.04.2011'!F43</f>
        <v>1324.32</v>
      </c>
      <c r="H64" s="100">
        <f>(E64*12/(G64-F64))</f>
        <v>8282.7050087850184</v>
      </c>
    </row>
    <row r="65" spans="2:8">
      <c r="B65" s="17" t="s">
        <v>253</v>
      </c>
      <c r="C65" s="17"/>
      <c r="D65" s="1225"/>
      <c r="E65" s="191">
        <f>'изм.приказ 27 от 28.04.2011'!B44</f>
        <v>1110334.72</v>
      </c>
      <c r="F65" s="191">
        <f>'изм.приказ 27 от 28.04.2011'!D44</f>
        <v>469.5</v>
      </c>
      <c r="G65" s="191">
        <f>'изм.приказ 27 от 28.04.2011'!F44</f>
        <v>2146.56</v>
      </c>
      <c r="H65" s="100">
        <f>(E65*12/(G65-F65))</f>
        <v>7944.8658008658012</v>
      </c>
    </row>
    <row r="66" spans="2:8">
      <c r="B66" s="9" t="s">
        <v>215</v>
      </c>
      <c r="C66" s="538"/>
      <c r="D66" s="538"/>
      <c r="E66" s="1228">
        <f>'изм.приказ 27 от 28.04.2011'!B45</f>
        <v>2019526.48</v>
      </c>
      <c r="F66" s="1228">
        <f>'изм.приказ 27 от 28.04.2011'!D45</f>
        <v>535.79999999999995</v>
      </c>
      <c r="G66" s="1228">
        <f>'изм.приказ 27 от 28.04.2011'!F45</f>
        <v>3325.91</v>
      </c>
      <c r="H66" s="540">
        <f>(E66*12/(G66-F66))</f>
        <v>8685.7929472314718</v>
      </c>
    </row>
    <row r="67" spans="2:8">
      <c r="B67" s="341" t="s">
        <v>352</v>
      </c>
      <c r="C67" s="341"/>
      <c r="D67" s="1226"/>
      <c r="E67" s="342">
        <f>'изм.приказ 27 от 28.04.2011'!B46</f>
        <v>22308.959999999999</v>
      </c>
      <c r="F67" s="342">
        <f>'изм.приказ 27 от 28.04.2011'!D46</f>
        <v>210.28899999999999</v>
      </c>
      <c r="G67" s="342">
        <f>'изм.приказ 27 от 28.04.2011'!F46</f>
        <v>258.20999999999998</v>
      </c>
      <c r="H67" s="196">
        <f>(E67*12/(G67-F67))</f>
        <v>5586.4343398510064</v>
      </c>
    </row>
    <row r="68" spans="2:8">
      <c r="B68" s="47"/>
      <c r="C68" s="47"/>
      <c r="D68" s="47"/>
      <c r="E68" s="47"/>
      <c r="F68" s="47"/>
      <c r="G68" s="47"/>
      <c r="H68" s="47"/>
    </row>
  </sheetData>
  <mergeCells count="14">
    <mergeCell ref="G59:G60"/>
    <mergeCell ref="A22:A23"/>
    <mergeCell ref="B22:E23"/>
    <mergeCell ref="A30:A31"/>
    <mergeCell ref="B30:B31"/>
    <mergeCell ref="B59:B62"/>
    <mergeCell ref="E59:E60"/>
    <mergeCell ref="B6:B9"/>
    <mergeCell ref="D6:D7"/>
    <mergeCell ref="E6:E7"/>
    <mergeCell ref="F6:F7"/>
    <mergeCell ref="A15:A17"/>
    <mergeCell ref="B15:B17"/>
    <mergeCell ref="D15:E16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N103"/>
  <sheetViews>
    <sheetView zoomScaleSheetLayoutView="100" workbookViewId="0">
      <pane ySplit="8" topLeftCell="A9" activePane="bottomLeft" state="frozen"/>
      <selection activeCell="K8" sqref="K8"/>
      <selection pane="bottomLeft" activeCell="K8" sqref="K8"/>
    </sheetView>
  </sheetViews>
  <sheetFormatPr defaultColWidth="9.109375" defaultRowHeight="13.2"/>
  <cols>
    <col min="1" max="1" width="35.5546875" style="22" customWidth="1"/>
    <col min="2" max="6" width="13.44140625" style="22" customWidth="1"/>
    <col min="7" max="7" width="9.109375" style="176"/>
    <col min="8" max="9" width="9.5546875" style="176" bestFit="1" customWidth="1"/>
    <col min="10" max="14" width="9.109375" style="176"/>
    <col min="15" max="16384" width="9.109375" style="22"/>
  </cols>
  <sheetData>
    <row r="1" spans="1:14" ht="17.399999999999999">
      <c r="A1" s="410" t="s">
        <v>631</v>
      </c>
      <c r="F1" s="411" t="s">
        <v>174</v>
      </c>
      <c r="G1" s="22"/>
      <c r="H1" s="452">
        <f>B10+B13+B17+B30</f>
        <v>160376.16899999999</v>
      </c>
      <c r="I1" s="452">
        <v>159801.12099999998</v>
      </c>
      <c r="J1" s="22"/>
      <c r="K1" s="22"/>
      <c r="L1" s="22"/>
      <c r="M1" s="22"/>
      <c r="N1" s="22"/>
    </row>
    <row r="2" spans="1:14" ht="20.399999999999999">
      <c r="A2" s="412" t="s">
        <v>360</v>
      </c>
      <c r="B2" s="413"/>
      <c r="C2" s="413"/>
      <c r="D2" s="413"/>
      <c r="E2" s="413"/>
      <c r="F2" s="413"/>
      <c r="G2" s="22"/>
      <c r="H2" s="452">
        <f>B11+B14+B18+B31</f>
        <v>31.726347847524671</v>
      </c>
      <c r="I2" s="452">
        <v>31.358097955738721</v>
      </c>
      <c r="J2" s="22"/>
      <c r="K2" s="22"/>
      <c r="L2" s="22"/>
      <c r="M2" s="22"/>
      <c r="N2" s="22"/>
    </row>
    <row r="3" spans="1:14" s="176" customFormat="1">
      <c r="A3" s="22"/>
      <c r="B3" s="22"/>
      <c r="C3" s="22"/>
      <c r="D3" s="22"/>
      <c r="E3" s="22"/>
      <c r="F3" s="22"/>
    </row>
    <row r="4" spans="1:14" ht="21.75" customHeight="1" thickBot="1">
      <c r="A4" s="414" t="s">
        <v>628</v>
      </c>
      <c r="B4" s="414"/>
      <c r="C4" s="414"/>
      <c r="D4" s="414"/>
      <c r="E4" s="414"/>
      <c r="F4" s="414"/>
      <c r="G4" s="22"/>
      <c r="H4" s="442"/>
      <c r="I4" s="22"/>
      <c r="J4" s="22"/>
      <c r="K4" s="22"/>
      <c r="L4" s="22"/>
      <c r="M4" s="22"/>
      <c r="N4" s="22"/>
    </row>
    <row r="5" spans="1:14">
      <c r="A5" s="1950" t="s">
        <v>361</v>
      </c>
      <c r="B5" s="1950"/>
      <c r="C5" s="1950"/>
      <c r="D5" s="1950"/>
      <c r="E5" s="1950"/>
      <c r="F5" s="1950"/>
      <c r="G5" s="22"/>
      <c r="H5" s="442" t="s">
        <v>511</v>
      </c>
      <c r="I5" s="22"/>
      <c r="J5" s="22"/>
      <c r="K5" s="22"/>
      <c r="L5" s="22"/>
      <c r="M5" s="22"/>
      <c r="N5" s="22"/>
    </row>
    <row r="6" spans="1:14" ht="15.6">
      <c r="F6" s="411"/>
      <c r="G6" s="22"/>
      <c r="H6" s="814">
        <v>36138.020999999993</v>
      </c>
      <c r="I6" s="452">
        <f>B13+B17+B30</f>
        <v>34656.069000000003</v>
      </c>
      <c r="J6" s="452">
        <f>I6-H6</f>
        <v>-1481.9519999999902</v>
      </c>
      <c r="K6" s="22"/>
      <c r="L6" s="22"/>
      <c r="M6" s="22"/>
      <c r="N6" s="22"/>
    </row>
    <row r="7" spans="1:14" ht="15.75" customHeight="1">
      <c r="A7" s="1950" t="s">
        <v>362</v>
      </c>
      <c r="B7" s="1950" t="s">
        <v>363</v>
      </c>
      <c r="C7" s="1950" t="s">
        <v>364</v>
      </c>
      <c r="D7" s="1950"/>
      <c r="E7" s="1950"/>
      <c r="F7" s="1950"/>
      <c r="G7" s="22"/>
      <c r="H7" s="815">
        <v>4.3580979557387227</v>
      </c>
      <c r="I7" s="806">
        <f>B14+B18+B31</f>
        <v>4.4254078764876255</v>
      </c>
      <c r="J7" s="806">
        <f>I7-H7</f>
        <v>6.7309920748902741E-2</v>
      </c>
      <c r="K7" s="22"/>
      <c r="L7" s="22"/>
      <c r="M7" s="22"/>
      <c r="N7" s="22"/>
    </row>
    <row r="8" spans="1:14" ht="15.6">
      <c r="A8" s="1950"/>
      <c r="B8" s="1950"/>
      <c r="C8" s="415" t="s">
        <v>226</v>
      </c>
      <c r="D8" s="415" t="s">
        <v>159</v>
      </c>
      <c r="E8" s="415" t="s">
        <v>160</v>
      </c>
      <c r="F8" s="415" t="s">
        <v>215</v>
      </c>
      <c r="G8" s="22"/>
      <c r="H8" s="22"/>
      <c r="I8" s="22"/>
      <c r="J8" s="22"/>
      <c r="K8" s="22"/>
      <c r="L8" s="22"/>
      <c r="M8" s="22"/>
      <c r="N8" s="22"/>
    </row>
    <row r="9" spans="1:14" ht="21.75" customHeight="1">
      <c r="A9" s="417" t="s">
        <v>365</v>
      </c>
      <c r="B9" s="418"/>
      <c r="C9" s="418"/>
      <c r="D9" s="418"/>
      <c r="E9" s="418"/>
      <c r="F9" s="418"/>
      <c r="G9" s="22"/>
      <c r="H9" s="22"/>
      <c r="I9" s="22"/>
      <c r="J9" s="176">
        <f>-21700+19763+531.558+16.5+40-133.01</f>
        <v>-1481.952</v>
      </c>
      <c r="K9" s="22"/>
      <c r="L9" s="22"/>
      <c r="M9" s="22"/>
      <c r="N9" s="22"/>
    </row>
    <row r="10" spans="1:14" ht="23.25" customHeight="1">
      <c r="A10" s="419" t="s">
        <v>366</v>
      </c>
      <c r="B10" s="420">
        <f>SUM(C10:F10)</f>
        <v>125720.1</v>
      </c>
      <c r="C10" s="420">
        <v>123663.1</v>
      </c>
      <c r="D10" s="420">
        <v>825</v>
      </c>
      <c r="E10" s="420">
        <f>807</f>
        <v>807</v>
      </c>
      <c r="F10" s="420">
        <f>425</f>
        <v>425</v>
      </c>
      <c r="G10" s="22"/>
      <c r="H10" s="22"/>
      <c r="I10" s="22"/>
      <c r="J10" s="812">
        <f>-2.51+2.51+0.074+0.0033+0.0053-0.01531</f>
        <v>6.7289999999999989E-2</v>
      </c>
      <c r="K10" s="22"/>
      <c r="L10" s="22"/>
      <c r="M10" s="22"/>
      <c r="N10" s="22"/>
    </row>
    <row r="11" spans="1:14" ht="23.25" customHeight="1">
      <c r="A11" s="423" t="s">
        <v>367</v>
      </c>
      <c r="B11" s="992">
        <f>SUM(C11:F11)</f>
        <v>27.30093997103705</v>
      </c>
      <c r="C11" s="424">
        <v>27</v>
      </c>
      <c r="D11" s="424">
        <f>825/6942</f>
        <v>0.11884183232497839</v>
      </c>
      <c r="E11" s="424">
        <f>E10/6837</f>
        <v>0.11803422553751645</v>
      </c>
      <c r="F11" s="424">
        <f>F10/6634</f>
        <v>6.4063913174555315E-2</v>
      </c>
      <c r="G11" s="22"/>
      <c r="H11" s="22"/>
      <c r="I11" s="22"/>
      <c r="J11" s="22"/>
      <c r="K11" s="22"/>
      <c r="L11" s="22"/>
      <c r="M11" s="22"/>
      <c r="N11" s="22"/>
    </row>
    <row r="12" spans="1:14" ht="21.75" customHeight="1">
      <c r="A12" s="417" t="s">
        <v>368</v>
      </c>
      <c r="B12" s="425"/>
      <c r="C12" s="425"/>
      <c r="D12" s="425"/>
      <c r="E12" s="418"/>
      <c r="F12" s="418"/>
      <c r="G12" s="22"/>
      <c r="H12" s="452"/>
      <c r="I12" s="22"/>
      <c r="J12" s="22"/>
      <c r="K12" s="22"/>
      <c r="L12" s="22"/>
      <c r="M12" s="22"/>
      <c r="N12" s="22"/>
    </row>
    <row r="13" spans="1:14" ht="23.25" customHeight="1">
      <c r="A13" s="419" t="s">
        <v>366</v>
      </c>
      <c r="B13" s="420">
        <f>SUM(C13:F13)</f>
        <v>2529.6999999999998</v>
      </c>
      <c r="C13" s="424">
        <v>2529.6999999999998</v>
      </c>
      <c r="D13" s="424"/>
      <c r="E13" s="420"/>
      <c r="F13" s="420"/>
      <c r="G13" s="22"/>
      <c r="H13" s="22"/>
      <c r="I13" s="22"/>
      <c r="J13" s="22"/>
      <c r="K13" s="22"/>
      <c r="L13" s="22"/>
      <c r="M13" s="22"/>
      <c r="N13" s="22"/>
    </row>
    <row r="14" spans="1:14" ht="23.25" customHeight="1">
      <c r="A14" s="423" t="s">
        <v>367</v>
      </c>
      <c r="B14" s="424">
        <f>SUM(C14:F14)</f>
        <v>0.30878943479104243</v>
      </c>
      <c r="C14" s="424">
        <v>0.30878943479104243</v>
      </c>
      <c r="D14" s="424"/>
      <c r="E14" s="424"/>
      <c r="F14" s="424"/>
      <c r="G14" s="22"/>
      <c r="H14" s="22"/>
      <c r="I14" s="22"/>
      <c r="J14" s="22"/>
      <c r="K14" s="22"/>
      <c r="L14" s="22"/>
      <c r="M14" s="22"/>
      <c r="N14" s="22"/>
    </row>
    <row r="15" spans="1:14" ht="21.75" customHeight="1">
      <c r="A15" s="426" t="s">
        <v>369</v>
      </c>
      <c r="B15" s="427"/>
      <c r="C15" s="428"/>
      <c r="D15" s="427"/>
      <c r="E15" s="427"/>
      <c r="F15" s="427"/>
      <c r="G15" s="22"/>
      <c r="H15" s="22"/>
      <c r="I15" s="22"/>
      <c r="J15" s="22"/>
      <c r="K15" s="22"/>
      <c r="L15" s="22"/>
      <c r="M15" s="22"/>
      <c r="N15" s="22"/>
    </row>
    <row r="16" spans="1:14" ht="14.25" customHeight="1">
      <c r="A16" s="429" t="s">
        <v>370</v>
      </c>
      <c r="B16" s="429"/>
      <c r="C16" s="429"/>
      <c r="D16" s="429"/>
      <c r="E16" s="429"/>
      <c r="F16" s="429"/>
      <c r="G16" s="22"/>
      <c r="H16" s="22"/>
      <c r="I16" s="22"/>
      <c r="J16" s="22"/>
      <c r="K16" s="22"/>
      <c r="L16" s="22"/>
      <c r="M16" s="22"/>
      <c r="N16" s="22"/>
    </row>
    <row r="17" spans="1:14" ht="23.25" customHeight="1">
      <c r="A17" s="255" t="s">
        <v>366</v>
      </c>
      <c r="B17" s="430">
        <f>SUM(C17:F17)</f>
        <v>9984.4999999999982</v>
      </c>
      <c r="C17" s="430">
        <f t="shared" ref="C17:F18" si="0">C21+C24+C27</f>
        <v>4070</v>
      </c>
      <c r="D17" s="431">
        <f t="shared" si="0"/>
        <v>16.5</v>
      </c>
      <c r="E17" s="431">
        <f t="shared" si="0"/>
        <v>5412.2999999999993</v>
      </c>
      <c r="F17" s="431">
        <f t="shared" si="0"/>
        <v>485.69999999999902</v>
      </c>
    </row>
    <row r="18" spans="1:14" ht="23.25" customHeight="1">
      <c r="A18" s="432" t="s">
        <v>367</v>
      </c>
      <c r="B18" s="433">
        <f>SUM(C18:F18)</f>
        <v>1.297618441696583</v>
      </c>
      <c r="C18" s="433">
        <f t="shared" si="0"/>
        <v>0.53700000000000003</v>
      </c>
      <c r="D18" s="805">
        <f t="shared" si="0"/>
        <v>3.3E-3</v>
      </c>
      <c r="E18" s="434">
        <f t="shared" si="0"/>
        <v>0.68200000000000005</v>
      </c>
      <c r="F18" s="434">
        <f t="shared" si="0"/>
        <v>7.5318441696582902E-2</v>
      </c>
    </row>
    <row r="19" spans="1:14" ht="14.25" customHeight="1">
      <c r="A19" s="435" t="s">
        <v>189</v>
      </c>
      <c r="B19" s="435"/>
      <c r="C19" s="435"/>
      <c r="D19" s="435"/>
      <c r="E19" s="435"/>
      <c r="F19" s="435"/>
    </row>
    <row r="20" spans="1:14" ht="19.5" customHeight="1">
      <c r="A20" s="436" t="s">
        <v>371</v>
      </c>
      <c r="B20" s="437"/>
      <c r="C20" s="437"/>
      <c r="D20" s="437"/>
      <c r="E20" s="437"/>
      <c r="F20" s="438"/>
    </row>
    <row r="21" spans="1:14" ht="23.25" customHeight="1">
      <c r="A21" s="419" t="s">
        <v>366</v>
      </c>
      <c r="B21" s="422">
        <f>SUM(C21:F21)</f>
        <v>9712.9999999999982</v>
      </c>
      <c r="C21" s="422">
        <v>4070</v>
      </c>
      <c r="D21" s="63">
        <v>0</v>
      </c>
      <c r="E21" s="817">
        <f>5395.4</f>
        <v>5395.4</v>
      </c>
      <c r="F21" s="809">
        <f>207.599999999999+40</f>
        <v>247.599999999999</v>
      </c>
    </row>
    <row r="22" spans="1:14" ht="23.25" customHeight="1">
      <c r="A22" s="423" t="s">
        <v>367</v>
      </c>
      <c r="B22" s="421">
        <f>SUM(C22:F22)</f>
        <v>1.2503184416965831</v>
      </c>
      <c r="C22" s="421">
        <v>0.53700000000000003</v>
      </c>
      <c r="D22" s="63">
        <v>0</v>
      </c>
      <c r="E22" s="818">
        <f>0.679</f>
        <v>0.67900000000000005</v>
      </c>
      <c r="F22" s="809">
        <f>0.029+40/7521</f>
        <v>3.4318441696582901E-2</v>
      </c>
    </row>
    <row r="23" spans="1:14" ht="30.75" customHeight="1">
      <c r="A23" s="1950" t="s">
        <v>521</v>
      </c>
      <c r="B23" s="1950"/>
      <c r="C23" s="1950"/>
      <c r="D23" s="1950"/>
      <c r="E23" s="1950"/>
      <c r="F23" s="1950"/>
    </row>
    <row r="24" spans="1:14" ht="47.25" customHeight="1">
      <c r="A24" s="419" t="s">
        <v>366</v>
      </c>
      <c r="B24" s="422">
        <f>SUM(C24:F24)</f>
        <v>255.00000000000003</v>
      </c>
      <c r="C24" s="63">
        <v>0</v>
      </c>
      <c r="D24" s="63">
        <v>0</v>
      </c>
      <c r="E24" s="422">
        <v>16.899999999999999</v>
      </c>
      <c r="F24" s="422">
        <v>238.10000000000002</v>
      </c>
    </row>
    <row r="25" spans="1:14" ht="23.25" customHeight="1">
      <c r="A25" s="423" t="s">
        <v>367</v>
      </c>
      <c r="B25" s="421">
        <f>SUM(C25:F25)</f>
        <v>4.4000000000000004E-2</v>
      </c>
      <c r="C25" s="63">
        <v>0</v>
      </c>
      <c r="D25" s="63">
        <v>0</v>
      </c>
      <c r="E25" s="816">
        <v>3.0000000000000001E-3</v>
      </c>
      <c r="F25" s="816">
        <v>4.1000000000000002E-2</v>
      </c>
      <c r="H25" s="813">
        <f>E24/E25</f>
        <v>5633.333333333333</v>
      </c>
      <c r="I25" s="813">
        <f>F24/F25</f>
        <v>5807.3170731707323</v>
      </c>
    </row>
    <row r="26" spans="1:14" ht="49.5" customHeight="1">
      <c r="A26" s="1950" t="s">
        <v>522</v>
      </c>
      <c r="B26" s="1950"/>
      <c r="C26" s="1950"/>
      <c r="D26" s="1950"/>
      <c r="E26" s="1950"/>
      <c r="F26" s="1950"/>
    </row>
    <row r="27" spans="1:14" ht="23.25" customHeight="1">
      <c r="A27" s="419" t="s">
        <v>366</v>
      </c>
      <c r="B27" s="431">
        <f>SUM(C27:F27)</f>
        <v>16.5</v>
      </c>
      <c r="C27" s="422"/>
      <c r="D27" s="807">
        <f>16.5</f>
        <v>16.5</v>
      </c>
      <c r="E27" s="817"/>
      <c r="F27" s="420"/>
    </row>
    <row r="28" spans="1:14" ht="23.25" customHeight="1">
      <c r="A28" s="423" t="s">
        <v>367</v>
      </c>
      <c r="B28" s="805">
        <f>SUM(C28:F28)</f>
        <v>3.3E-3</v>
      </c>
      <c r="C28" s="421"/>
      <c r="D28" s="808">
        <f>D27/5000</f>
        <v>3.3E-3</v>
      </c>
      <c r="E28" s="819"/>
      <c r="F28" s="424"/>
    </row>
    <row r="29" spans="1:14" ht="21.75" customHeight="1">
      <c r="A29" s="439" t="s">
        <v>372</v>
      </c>
      <c r="B29" s="435"/>
      <c r="C29" s="435"/>
      <c r="D29" s="435"/>
      <c r="E29" s="435"/>
      <c r="F29" s="435"/>
    </row>
    <row r="30" spans="1:14" ht="23.25" customHeight="1">
      <c r="A30" s="419" t="s">
        <v>366</v>
      </c>
      <c r="B30" s="431">
        <f>SUM(C30:F30)</f>
        <v>22141.869000000002</v>
      </c>
      <c r="C30" s="809">
        <f>23187.311-21700+19763</f>
        <v>21250.311000000002</v>
      </c>
      <c r="D30" s="63">
        <v>0</v>
      </c>
      <c r="E30" s="420">
        <v>360</v>
      </c>
      <c r="F30" s="809">
        <f>531.558</f>
        <v>531.55799999999999</v>
      </c>
      <c r="I30" s="613">
        <v>23680.321</v>
      </c>
    </row>
    <row r="31" spans="1:14" ht="23.25" customHeight="1">
      <c r="A31" s="423" t="s">
        <v>367</v>
      </c>
      <c r="B31" s="434">
        <f>SUM(C31:F31)</f>
        <v>2.819</v>
      </c>
      <c r="C31" s="809">
        <f>2.705-2.51+2.51</f>
        <v>2.7050000000000001</v>
      </c>
      <c r="D31" s="63">
        <v>0</v>
      </c>
      <c r="E31" s="424">
        <v>0.04</v>
      </c>
      <c r="F31" s="809">
        <f>0.074</f>
        <v>7.3999999999999996E-2</v>
      </c>
      <c r="I31" s="346">
        <v>2.7603135126301153</v>
      </c>
    </row>
    <row r="32" spans="1:14" s="442" customFormat="1" ht="15.75" customHeight="1">
      <c r="A32" s="440"/>
      <c r="B32" s="440"/>
      <c r="C32" s="440"/>
      <c r="D32" s="440"/>
      <c r="E32" s="440"/>
      <c r="F32" s="440"/>
      <c r="G32" s="441"/>
      <c r="H32" s="441"/>
      <c r="I32" s="441"/>
      <c r="J32" s="441"/>
      <c r="K32" s="441"/>
      <c r="L32" s="441"/>
      <c r="M32" s="441"/>
      <c r="N32" s="441"/>
    </row>
    <row r="33" spans="1:14" s="442" customFormat="1" ht="15.75" customHeight="1">
      <c r="G33" s="441"/>
      <c r="H33" s="441"/>
      <c r="I33" s="441"/>
      <c r="J33" s="441"/>
      <c r="K33" s="441"/>
      <c r="L33" s="441"/>
      <c r="M33" s="441"/>
      <c r="N33" s="441"/>
    </row>
    <row r="34" spans="1:14" s="358" customFormat="1" ht="15.75" customHeight="1">
      <c r="C34" s="443"/>
      <c r="E34" s="444"/>
      <c r="G34" s="445"/>
      <c r="H34" s="445"/>
      <c r="I34" s="445"/>
      <c r="J34" s="445"/>
      <c r="K34" s="445"/>
      <c r="L34" s="445"/>
      <c r="M34" s="445"/>
      <c r="N34" s="445"/>
    </row>
    <row r="35" spans="1:14" s="358" customFormat="1" ht="15.75" customHeight="1">
      <c r="A35" s="78" t="s">
        <v>176</v>
      </c>
      <c r="B35" s="78"/>
      <c r="C35" s="78"/>
      <c r="D35" s="76" t="s">
        <v>632</v>
      </c>
      <c r="E35" s="78"/>
      <c r="F35" s="78"/>
      <c r="G35" s="445"/>
      <c r="H35" s="445"/>
      <c r="I35" s="445"/>
      <c r="J35" s="445"/>
      <c r="K35" s="445"/>
      <c r="L35" s="445"/>
      <c r="M35" s="445"/>
      <c r="N35" s="445"/>
    </row>
    <row r="36" spans="1:14" s="358" customFormat="1" ht="15.75" customHeight="1">
      <c r="A36" s="78" t="s">
        <v>523</v>
      </c>
      <c r="B36" s="78"/>
      <c r="C36" s="78"/>
      <c r="D36" s="409" t="s">
        <v>659</v>
      </c>
      <c r="E36" s="78"/>
      <c r="F36" s="78"/>
      <c r="G36" s="445"/>
      <c r="H36" s="445"/>
      <c r="I36" s="445"/>
      <c r="J36" s="445"/>
      <c r="K36" s="445"/>
      <c r="L36" s="445"/>
      <c r="M36" s="445"/>
      <c r="N36" s="445"/>
    </row>
    <row r="37" spans="1:14" s="358" customFormat="1" ht="19.5" customHeight="1">
      <c r="B37" s="78"/>
      <c r="C37" s="78"/>
      <c r="D37" s="13" t="s">
        <v>628</v>
      </c>
      <c r="E37" s="78"/>
      <c r="F37" s="78"/>
      <c r="G37" s="445"/>
      <c r="H37" s="445"/>
      <c r="I37" s="445"/>
      <c r="J37" s="445"/>
      <c r="K37" s="445"/>
      <c r="L37" s="445"/>
      <c r="M37" s="445"/>
      <c r="N37" s="445"/>
    </row>
    <row r="38" spans="1:14" s="358" customFormat="1" ht="15.75" customHeight="1">
      <c r="B38" s="78"/>
      <c r="C38" s="78"/>
      <c r="E38" s="447"/>
      <c r="F38" s="197"/>
      <c r="G38" s="445"/>
      <c r="H38" s="445"/>
      <c r="I38" s="445"/>
      <c r="J38" s="445"/>
      <c r="K38" s="445"/>
      <c r="L38" s="445"/>
      <c r="M38" s="445"/>
      <c r="N38" s="445"/>
    </row>
    <row r="39" spans="1:14" ht="15.6">
      <c r="A39" s="78" t="s">
        <v>524</v>
      </c>
      <c r="B39" s="98"/>
      <c r="C39" s="98"/>
      <c r="D39" s="409" t="s">
        <v>660</v>
      </c>
      <c r="E39" s="98"/>
      <c r="F39" s="98"/>
    </row>
    <row r="40" spans="1:14">
      <c r="A40" s="446" t="s">
        <v>373</v>
      </c>
      <c r="B40" s="176"/>
      <c r="C40" s="176"/>
      <c r="D40" s="446" t="s">
        <v>374</v>
      </c>
      <c r="E40" s="176"/>
      <c r="F40" s="448"/>
    </row>
    <row r="41" spans="1:14">
      <c r="A41" s="449"/>
      <c r="B41" s="450"/>
      <c r="C41" s="346"/>
      <c r="D41" s="416"/>
      <c r="E41" s="346"/>
      <c r="F41" s="448"/>
    </row>
    <row r="42" spans="1:14">
      <c r="A42" s="451"/>
      <c r="B42" s="450"/>
      <c r="C42" s="346"/>
      <c r="D42" s="416"/>
      <c r="E42" s="346"/>
      <c r="F42" s="448"/>
    </row>
    <row r="43" spans="1:14">
      <c r="A43" s="176"/>
      <c r="B43" s="416"/>
      <c r="C43" s="416"/>
      <c r="D43" s="416"/>
      <c r="E43" s="346"/>
      <c r="F43" s="448"/>
    </row>
    <row r="44" spans="1:14">
      <c r="A44" s="176"/>
      <c r="B44" s="176"/>
      <c r="C44" s="346"/>
      <c r="D44" s="176"/>
      <c r="E44" s="176"/>
      <c r="F44" s="176"/>
    </row>
    <row r="46" spans="1:14">
      <c r="A46" s="176"/>
    </row>
    <row r="102" spans="4:14">
      <c r="D102" s="29" t="e">
        <f>D127+#REF!</f>
        <v>#REF!</v>
      </c>
      <c r="E102" s="452" t="e">
        <f>E127+#REF!</f>
        <v>#REF!</v>
      </c>
      <c r="G102" s="22"/>
      <c r="H102" s="22"/>
      <c r="I102" s="22"/>
      <c r="J102" s="22"/>
      <c r="K102" s="22"/>
      <c r="L102" s="22"/>
      <c r="M102" s="22"/>
      <c r="N102" s="22"/>
    </row>
    <row r="103" spans="4:14">
      <c r="E103" s="452"/>
      <c r="G103" s="22"/>
      <c r="H103" s="22"/>
      <c r="I103" s="22"/>
      <c r="J103" s="22"/>
      <c r="K103" s="22"/>
      <c r="L103" s="22"/>
      <c r="M103" s="22"/>
      <c r="N103" s="22"/>
    </row>
  </sheetData>
  <mergeCells count="6">
    <mergeCell ref="A26:F26"/>
    <mergeCell ref="A5:F5"/>
    <mergeCell ref="A7:A8"/>
    <mergeCell ref="B7:B8"/>
    <mergeCell ref="C7:F7"/>
    <mergeCell ref="A23:F23"/>
  </mergeCells>
  <printOptions horizontalCentered="1"/>
  <pageMargins left="0.98402777777777783" right="0.98402777777777783" top="0.78749999999999998" bottom="0.11805555555555557" header="0.51180555555555562" footer="0.51180555555555562"/>
  <pageSetup paperSize="9" scale="77" firstPageNumber="0" orientation="portrait" horizontalDpi="300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55"/>
  <sheetViews>
    <sheetView topLeftCell="A23" workbookViewId="0">
      <selection activeCell="K8" sqref="K8"/>
    </sheetView>
  </sheetViews>
  <sheetFormatPr defaultColWidth="9.109375" defaultRowHeight="13.2"/>
  <cols>
    <col min="1" max="1" width="4.5546875" style="57" customWidth="1"/>
    <col min="2" max="2" width="55" style="57" customWidth="1"/>
    <col min="3" max="3" width="14.33203125" style="57" customWidth="1"/>
    <col min="4" max="4" width="13.88671875" style="57" customWidth="1"/>
    <col min="5" max="5" width="12.5546875" style="906" customWidth="1"/>
    <col min="6" max="7" width="9.109375" style="57"/>
    <col min="8" max="8" width="9.109375" style="900"/>
    <col min="9" max="16384" width="9.109375" style="57"/>
  </cols>
  <sheetData>
    <row r="1" spans="1:8" ht="75.75" hidden="1" customHeight="1">
      <c r="A1" s="898" t="s">
        <v>831</v>
      </c>
      <c r="B1" s="72"/>
      <c r="E1" s="899"/>
    </row>
    <row r="2" spans="1:8" ht="15" hidden="1" customHeight="1">
      <c r="A2" s="901"/>
      <c r="B2" s="72"/>
      <c r="C2" s="902"/>
      <c r="D2" s="903"/>
      <c r="E2" s="899"/>
    </row>
    <row r="3" spans="1:8" ht="15" hidden="1" customHeight="1">
      <c r="A3" s="901"/>
      <c r="B3" s="72"/>
      <c r="C3" s="902"/>
      <c r="D3" s="903"/>
      <c r="E3" s="899"/>
    </row>
    <row r="4" spans="1:8" ht="15" hidden="1" customHeight="1">
      <c r="A4" s="901"/>
      <c r="B4" s="72"/>
      <c r="C4" s="902"/>
      <c r="D4" s="903"/>
      <c r="E4" s="899"/>
    </row>
    <row r="5" spans="1:8" ht="15" hidden="1" customHeight="1">
      <c r="A5" s="901"/>
      <c r="B5" s="72"/>
      <c r="C5" s="902"/>
      <c r="D5" s="903"/>
      <c r="E5" s="899"/>
    </row>
    <row r="6" spans="1:8" ht="15" hidden="1" customHeight="1">
      <c r="A6" s="901"/>
      <c r="B6" s="72"/>
      <c r="C6" s="902"/>
      <c r="D6" s="903"/>
      <c r="E6" s="899"/>
    </row>
    <row r="7" spans="1:8" ht="15" hidden="1" customHeight="1">
      <c r="A7" s="901"/>
      <c r="B7" s="72"/>
      <c r="C7" s="902"/>
      <c r="D7" s="903"/>
      <c r="E7" s="899"/>
    </row>
    <row r="8" spans="1:8" ht="19.5" hidden="1" customHeight="1">
      <c r="A8" s="901"/>
      <c r="B8" s="72"/>
      <c r="C8" s="902"/>
      <c r="D8" s="903"/>
      <c r="E8" s="899"/>
    </row>
    <row r="9" spans="1:8" ht="19.5" hidden="1" customHeight="1">
      <c r="A9" s="901"/>
      <c r="B9" s="72"/>
      <c r="C9" s="902"/>
      <c r="D9" s="903"/>
      <c r="E9" s="899"/>
    </row>
    <row r="10" spans="1:8" ht="19.5" hidden="1" customHeight="1">
      <c r="A10" s="901"/>
      <c r="B10" s="72"/>
      <c r="C10" s="902"/>
      <c r="D10" s="903"/>
      <c r="E10" s="899"/>
    </row>
    <row r="11" spans="1:8" ht="76.5" customHeight="1">
      <c r="A11" s="904"/>
      <c r="B11" s="905"/>
      <c r="C11" s="1950" t="s">
        <v>832</v>
      </c>
      <c r="D11" s="1950"/>
    </row>
    <row r="12" spans="1:8" ht="18" customHeight="1">
      <c r="A12" s="904" t="s">
        <v>833</v>
      </c>
      <c r="B12" s="905"/>
      <c r="C12" s="905"/>
      <c r="D12" s="905"/>
      <c r="E12" s="907"/>
    </row>
    <row r="13" spans="1:8" ht="17.399999999999999">
      <c r="A13" s="904" t="s">
        <v>834</v>
      </c>
      <c r="B13" s="905"/>
      <c r="C13" s="905"/>
      <c r="D13" s="905"/>
      <c r="E13" s="907"/>
    </row>
    <row r="14" spans="1:8" ht="17.399999999999999">
      <c r="A14" s="904" t="s">
        <v>816</v>
      </c>
      <c r="B14" s="905"/>
      <c r="C14" s="905"/>
      <c r="D14" s="905"/>
      <c r="E14" s="907"/>
    </row>
    <row r="15" spans="1:8" ht="24.75" customHeight="1">
      <c r="A15" s="72"/>
      <c r="B15" s="72"/>
    </row>
    <row r="16" spans="1:8" s="911" customFormat="1" ht="151.5" customHeight="1">
      <c r="A16" s="908" t="s">
        <v>835</v>
      </c>
      <c r="B16" s="908" t="s">
        <v>836</v>
      </c>
      <c r="C16" s="908" t="s">
        <v>837</v>
      </c>
      <c r="D16" s="909" t="s">
        <v>838</v>
      </c>
      <c r="E16" s="910" t="s">
        <v>242</v>
      </c>
      <c r="F16" s="911" t="s">
        <v>240</v>
      </c>
      <c r="H16" s="912" t="s">
        <v>353</v>
      </c>
    </row>
    <row r="17" spans="1:10" s="911" customFormat="1" ht="23.25" customHeight="1">
      <c r="A17" s="913" t="s">
        <v>839</v>
      </c>
      <c r="B17" s="914"/>
      <c r="C17" s="914"/>
      <c r="D17" s="914"/>
      <c r="E17" s="915"/>
      <c r="F17" s="911" t="s">
        <v>240</v>
      </c>
      <c r="H17" s="912"/>
    </row>
    <row r="18" spans="1:10" ht="23.25" customHeight="1">
      <c r="A18" s="916"/>
      <c r="B18" s="916"/>
      <c r="C18" s="917" t="s">
        <v>371</v>
      </c>
      <c r="D18" s="918"/>
      <c r="E18" s="918"/>
    </row>
    <row r="19" spans="1:10" ht="15.75" customHeight="1">
      <c r="A19" s="916" t="s">
        <v>21</v>
      </c>
      <c r="B19" s="919" t="s">
        <v>840</v>
      </c>
      <c r="C19" s="974">
        <f>C34+(4940.64-4069.969)</f>
        <v>3074.6400000000003</v>
      </c>
      <c r="D19" s="978">
        <f>D34+(0.6033-0.537)</f>
        <v>0.31929999999999992</v>
      </c>
      <c r="E19" s="920" t="s">
        <v>226</v>
      </c>
      <c r="H19" s="921">
        <f>C19/D19</f>
        <v>9629.3141246476698</v>
      </c>
    </row>
    <row r="20" spans="1:10" ht="21" customHeight="1">
      <c r="A20" s="916" t="s">
        <v>22</v>
      </c>
      <c r="B20" s="919" t="s">
        <v>841</v>
      </c>
      <c r="C20" s="916">
        <f>C46</f>
        <v>1866</v>
      </c>
      <c r="D20" s="979">
        <f>D46</f>
        <v>0.28399999999999997</v>
      </c>
      <c r="E20" s="920" t="s">
        <v>226</v>
      </c>
      <c r="G20" s="925">
        <f>SUM(C19:C20)</f>
        <v>4940.6400000000003</v>
      </c>
      <c r="H20" s="921">
        <f t="shared" ref="H20:H46" si="0">C20/D20</f>
        <v>6570.422535211268</v>
      </c>
    </row>
    <row r="21" spans="1:10" ht="35.25" customHeight="1">
      <c r="A21" s="916"/>
      <c r="B21" s="922" t="s">
        <v>842</v>
      </c>
      <c r="C21" s="976">
        <f>SUM(C19:C20)</f>
        <v>4940.6400000000003</v>
      </c>
      <c r="D21" s="980">
        <f>ROUND((SUM(D19:D20)),4)</f>
        <v>0.60329999999999995</v>
      </c>
      <c r="E21" s="924" t="s">
        <v>226</v>
      </c>
      <c r="G21" s="975">
        <f>SUM(D19:D20)</f>
        <v>0.60329999999999995</v>
      </c>
      <c r="H21" s="921">
        <f t="shared" si="0"/>
        <v>8189.3585280954758</v>
      </c>
    </row>
    <row r="22" spans="1:10" ht="24.75" customHeight="1">
      <c r="A22" s="916" t="s">
        <v>23</v>
      </c>
      <c r="B22" s="919" t="s">
        <v>371</v>
      </c>
      <c r="C22" s="977">
        <v>4637.9399999999996</v>
      </c>
      <c r="D22" s="979">
        <v>0.5988</v>
      </c>
      <c r="E22" s="920" t="s">
        <v>160</v>
      </c>
      <c r="H22" s="921">
        <f t="shared" si="0"/>
        <v>7745.3907815631255</v>
      </c>
    </row>
    <row r="23" spans="1:10" ht="15.75" customHeight="1">
      <c r="A23" s="916" t="s">
        <v>24</v>
      </c>
      <c r="B23" s="919" t="s">
        <v>371</v>
      </c>
      <c r="C23" s="977">
        <v>54.15</v>
      </c>
      <c r="D23" s="979">
        <v>7.1999999999999998E-3</v>
      </c>
      <c r="E23" s="920" t="s">
        <v>215</v>
      </c>
      <c r="H23" s="921">
        <f t="shared" si="0"/>
        <v>7520.833333333333</v>
      </c>
    </row>
    <row r="24" spans="1:10" ht="33.75" customHeight="1">
      <c r="A24" s="916"/>
      <c r="B24" s="927" t="s">
        <v>843</v>
      </c>
      <c r="C24" s="982">
        <f>C21+C22+C23</f>
        <v>9632.73</v>
      </c>
      <c r="D24" s="981">
        <f>D21+D22+D23</f>
        <v>1.2093</v>
      </c>
      <c r="E24" s="928"/>
      <c r="H24" s="921">
        <f t="shared" si="0"/>
        <v>7965.5420491193245</v>
      </c>
    </row>
    <row r="25" spans="1:10" ht="18" customHeight="1">
      <c r="A25" s="916"/>
      <c r="B25" s="916"/>
      <c r="C25" s="929" t="s">
        <v>844</v>
      </c>
      <c r="D25" s="918"/>
      <c r="E25" s="918"/>
      <c r="H25" s="921"/>
    </row>
    <row r="26" spans="1:10" ht="16.5" hidden="1" customHeight="1">
      <c r="A26" s="916"/>
      <c r="B26" s="916"/>
      <c r="C26" s="926"/>
      <c r="D26" s="916"/>
      <c r="E26" s="920" t="s">
        <v>226</v>
      </c>
      <c r="H26" s="921" t="e">
        <f t="shared" si="0"/>
        <v>#DIV/0!</v>
      </c>
    </row>
    <row r="27" spans="1:10" ht="21.75" customHeight="1">
      <c r="A27" s="916" t="s">
        <v>25</v>
      </c>
      <c r="B27" s="919" t="s">
        <v>844</v>
      </c>
      <c r="C27" s="977">
        <v>21.36</v>
      </c>
      <c r="D27" s="979">
        <v>4.3E-3</v>
      </c>
      <c r="E27" s="920" t="s">
        <v>160</v>
      </c>
      <c r="H27" s="921">
        <f t="shared" si="0"/>
        <v>4967.4418604651164</v>
      </c>
    </row>
    <row r="28" spans="1:10" ht="24" customHeight="1">
      <c r="A28" s="916" t="s">
        <v>26</v>
      </c>
      <c r="B28" s="919" t="s">
        <v>844</v>
      </c>
      <c r="C28" s="977">
        <v>188.37</v>
      </c>
      <c r="D28" s="979">
        <v>3.7499999999999999E-2</v>
      </c>
      <c r="E28" s="920" t="s">
        <v>215</v>
      </c>
      <c r="H28" s="921">
        <f t="shared" si="0"/>
        <v>5023.2000000000007</v>
      </c>
    </row>
    <row r="29" spans="1:10" ht="28.5" customHeight="1">
      <c r="A29" s="916"/>
      <c r="B29" s="927" t="s">
        <v>845</v>
      </c>
      <c r="C29" s="982">
        <f>SUM(C27:C28)</f>
        <v>209.73000000000002</v>
      </c>
      <c r="D29" s="981">
        <f>SUM(D27:D28)</f>
        <v>4.1799999999999997E-2</v>
      </c>
      <c r="E29" s="928"/>
      <c r="H29" s="921">
        <f>C29/D29</f>
        <v>5017.4641148325363</v>
      </c>
    </row>
    <row r="30" spans="1:10" s="934" customFormat="1" ht="21" customHeight="1">
      <c r="A30" s="930"/>
      <c r="B30" s="931" t="s">
        <v>846</v>
      </c>
      <c r="C30" s="932">
        <f>C24+C29</f>
        <v>9842.4599999999991</v>
      </c>
      <c r="D30" s="983">
        <f>D24+D29</f>
        <v>1.2511000000000001</v>
      </c>
      <c r="E30" s="933"/>
      <c r="H30" s="921">
        <f t="shared" si="0"/>
        <v>7867.0450003996466</v>
      </c>
    </row>
    <row r="31" spans="1:10" s="911" customFormat="1" ht="21" customHeight="1">
      <c r="A31" s="935" t="s">
        <v>847</v>
      </c>
      <c r="B31" s="936"/>
      <c r="C31" s="937"/>
      <c r="D31" s="916"/>
      <c r="E31" s="938"/>
      <c r="F31" s="911" t="s">
        <v>240</v>
      </c>
      <c r="H31" s="921"/>
    </row>
    <row r="32" spans="1:10" ht="78" customHeight="1">
      <c r="A32" s="939">
        <f>A18+1</f>
        <v>1</v>
      </c>
      <c r="B32" s="940" t="s">
        <v>848</v>
      </c>
      <c r="C32" s="941">
        <v>3017.28</v>
      </c>
      <c r="D32" s="942">
        <v>0.34599999999999997</v>
      </c>
      <c r="E32" s="943" t="s">
        <v>226</v>
      </c>
      <c r="G32" s="944">
        <f>C33+C35+C45</f>
        <v>21250.311000000002</v>
      </c>
      <c r="H32" s="921">
        <f t="shared" si="0"/>
        <v>8720.462427745666</v>
      </c>
      <c r="I32" s="945">
        <v>8417.0198482290671</v>
      </c>
      <c r="J32" s="925">
        <f>SUM(D33:D34)</f>
        <v>0.34599999999999997</v>
      </c>
    </row>
    <row r="33" spans="1:12" ht="16.5" customHeight="1">
      <c r="A33" s="946" t="s">
        <v>9</v>
      </c>
      <c r="B33" s="947" t="s">
        <v>849</v>
      </c>
      <c r="C33" s="941">
        <v>813.31100000000004</v>
      </c>
      <c r="D33" s="942">
        <v>9.2999999999999999E-2</v>
      </c>
      <c r="E33" s="943" t="s">
        <v>226</v>
      </c>
      <c r="G33" s="57" t="s">
        <v>850</v>
      </c>
      <c r="H33" s="921">
        <f t="shared" si="0"/>
        <v>8745.2795698924729</v>
      </c>
    </row>
    <row r="34" spans="1:12" ht="16.5" customHeight="1">
      <c r="A34" s="946" t="s">
        <v>10</v>
      </c>
      <c r="B34" s="948" t="s">
        <v>851</v>
      </c>
      <c r="C34" s="949">
        <f>C32-C33</f>
        <v>2203.9690000000001</v>
      </c>
      <c r="D34" s="942">
        <f>D32-D33</f>
        <v>0.253</v>
      </c>
      <c r="E34" s="943" t="s">
        <v>226</v>
      </c>
      <c r="F34" s="57" t="s">
        <v>852</v>
      </c>
      <c r="G34" s="950">
        <v>2203.9690000000001</v>
      </c>
      <c r="H34" s="921">
        <f t="shared" si="0"/>
        <v>8711.3399209486161</v>
      </c>
    </row>
    <row r="35" spans="1:12" ht="15.6">
      <c r="A35" s="1950">
        <f>A32+1</f>
        <v>2</v>
      </c>
      <c r="B35" s="1950" t="s">
        <v>853</v>
      </c>
      <c r="C35" s="951">
        <v>19763</v>
      </c>
      <c r="D35" s="952">
        <v>2.5099999999999998</v>
      </c>
      <c r="E35" s="943" t="s">
        <v>226</v>
      </c>
      <c r="F35" s="57" t="s">
        <v>854</v>
      </c>
      <c r="G35" s="950">
        <v>0.253</v>
      </c>
      <c r="H35" s="921">
        <f t="shared" si="0"/>
        <v>7873.7051792828688</v>
      </c>
      <c r="I35" s="57" t="s">
        <v>226</v>
      </c>
      <c r="J35" s="57">
        <v>21700</v>
      </c>
      <c r="K35" s="57">
        <v>2.56</v>
      </c>
      <c r="L35" s="57" t="s">
        <v>855</v>
      </c>
    </row>
    <row r="36" spans="1:12" ht="15.6">
      <c r="A36" s="1950"/>
      <c r="B36" s="1950"/>
      <c r="C36" s="951">
        <v>360</v>
      </c>
      <c r="D36" s="952">
        <v>0.04</v>
      </c>
      <c r="E36" s="920" t="s">
        <v>160</v>
      </c>
      <c r="F36" s="925">
        <f>SUM(D35:D36)</f>
        <v>2.5499999999999998</v>
      </c>
      <c r="G36" s="953">
        <f>G34/G35</f>
        <v>8711.3399209486161</v>
      </c>
      <c r="H36" s="921">
        <f t="shared" si="0"/>
        <v>9000</v>
      </c>
      <c r="I36" s="57" t="s">
        <v>253</v>
      </c>
      <c r="J36" s="57">
        <v>360</v>
      </c>
      <c r="K36" s="57">
        <v>0.04</v>
      </c>
    </row>
    <row r="37" spans="1:12" ht="46.8">
      <c r="A37" s="939">
        <f>A35+1</f>
        <v>3</v>
      </c>
      <c r="B37" s="954" t="s">
        <v>856</v>
      </c>
      <c r="C37" s="955">
        <v>531.55799999999999</v>
      </c>
      <c r="D37" s="952">
        <v>7.3999999999999996E-2</v>
      </c>
      <c r="E37" s="943" t="s">
        <v>215</v>
      </c>
      <c r="H37" s="921">
        <f t="shared" si="0"/>
        <v>7183.2162162162167</v>
      </c>
      <c r="J37" s="57">
        <f>SUM(J35:J36)</f>
        <v>22060</v>
      </c>
      <c r="K37" s="956">
        <f>SUM(K35:K36)</f>
        <v>2.6</v>
      </c>
    </row>
    <row r="38" spans="1:12" ht="54" customHeight="1">
      <c r="A38" s="939">
        <f t="shared" ref="A38:A44" si="1">A37+1</f>
        <v>4</v>
      </c>
      <c r="B38" s="940" t="s">
        <v>857</v>
      </c>
      <c r="C38" s="926">
        <v>2540</v>
      </c>
      <c r="D38" s="916">
        <f>D46+D45</f>
        <v>0.38599999999999995</v>
      </c>
      <c r="E38" s="943" t="s">
        <v>226</v>
      </c>
      <c r="H38" s="921">
        <f t="shared" si="0"/>
        <v>6580.3108808290162</v>
      </c>
    </row>
    <row r="39" spans="1:12" ht="26.25" hidden="1" customHeight="1">
      <c r="A39" s="939">
        <f t="shared" si="1"/>
        <v>5</v>
      </c>
      <c r="B39" s="940"/>
      <c r="C39" s="926"/>
      <c r="D39" s="916"/>
      <c r="E39" s="943" t="s">
        <v>226</v>
      </c>
      <c r="H39" s="921" t="e">
        <f t="shared" si="0"/>
        <v>#DIV/0!</v>
      </c>
    </row>
    <row r="40" spans="1:12" ht="35.1" hidden="1" customHeight="1">
      <c r="A40" s="939">
        <f t="shared" si="1"/>
        <v>6</v>
      </c>
      <c r="B40" s="940"/>
      <c r="C40" s="926"/>
      <c r="D40" s="916"/>
      <c r="E40" s="943" t="s">
        <v>226</v>
      </c>
      <c r="H40" s="921" t="e">
        <f t="shared" si="0"/>
        <v>#DIV/0!</v>
      </c>
    </row>
    <row r="41" spans="1:12" ht="35.1" hidden="1" customHeight="1">
      <c r="A41" s="939">
        <f t="shared" si="1"/>
        <v>7</v>
      </c>
      <c r="B41" s="940"/>
      <c r="C41" s="926"/>
      <c r="D41" s="916"/>
      <c r="E41" s="943" t="s">
        <v>226</v>
      </c>
      <c r="H41" s="921" t="e">
        <f t="shared" si="0"/>
        <v>#DIV/0!</v>
      </c>
    </row>
    <row r="42" spans="1:12" ht="35.1" hidden="1" customHeight="1">
      <c r="A42" s="939">
        <f t="shared" si="1"/>
        <v>8</v>
      </c>
      <c r="B42" s="940"/>
      <c r="C42" s="926"/>
      <c r="D42" s="916"/>
      <c r="E42" s="943" t="s">
        <v>226</v>
      </c>
      <c r="H42" s="921" t="e">
        <f t="shared" si="0"/>
        <v>#DIV/0!</v>
      </c>
    </row>
    <row r="43" spans="1:12" ht="35.25" hidden="1" customHeight="1">
      <c r="A43" s="939">
        <f t="shared" si="1"/>
        <v>9</v>
      </c>
      <c r="B43" s="940"/>
      <c r="C43" s="926"/>
      <c r="D43" s="916"/>
      <c r="E43" s="943" t="s">
        <v>226</v>
      </c>
      <c r="H43" s="921" t="e">
        <f t="shared" si="0"/>
        <v>#DIV/0!</v>
      </c>
    </row>
    <row r="44" spans="1:12" ht="15.6" hidden="1">
      <c r="A44" s="939">
        <f t="shared" si="1"/>
        <v>10</v>
      </c>
      <c r="B44" s="940"/>
      <c r="C44" s="926"/>
      <c r="D44" s="916"/>
      <c r="E44" s="943" t="s">
        <v>226</v>
      </c>
      <c r="H44" s="921" t="e">
        <f t="shared" si="0"/>
        <v>#DIV/0!</v>
      </c>
    </row>
    <row r="45" spans="1:12" ht="20.25" customHeight="1">
      <c r="A45" s="946" t="s">
        <v>33</v>
      </c>
      <c r="B45" s="947" t="s">
        <v>849</v>
      </c>
      <c r="C45" s="926">
        <v>674</v>
      </c>
      <c r="D45" s="916">
        <v>0.10199999999999999</v>
      </c>
      <c r="E45" s="943" t="s">
        <v>226</v>
      </c>
      <c r="H45" s="921">
        <f t="shared" si="0"/>
        <v>6607.8431372549021</v>
      </c>
    </row>
    <row r="46" spans="1:12" ht="20.25" customHeight="1">
      <c r="A46" s="946" t="s">
        <v>34</v>
      </c>
      <c r="B46" s="948" t="s">
        <v>851</v>
      </c>
      <c r="C46" s="923">
        <f>C38-C45</f>
        <v>1866</v>
      </c>
      <c r="D46" s="957">
        <v>0.28399999999999997</v>
      </c>
      <c r="E46" s="943" t="s">
        <v>226</v>
      </c>
      <c r="H46" s="921">
        <f t="shared" si="0"/>
        <v>6570.422535211268</v>
      </c>
    </row>
    <row r="47" spans="1:12" s="934" customFormat="1" ht="21" customHeight="1">
      <c r="A47" s="930"/>
      <c r="B47" s="932" t="s">
        <v>858</v>
      </c>
      <c r="C47" s="932">
        <f>C33+C35+C36+C37+C45</f>
        <v>22141.869000000002</v>
      </c>
      <c r="D47" s="932">
        <f>D33+D35+D36+D37+D45</f>
        <v>2.8189999999999995</v>
      </c>
      <c r="E47" s="933"/>
      <c r="H47" s="921">
        <f>C47/D47</f>
        <v>7854.5118836466854</v>
      </c>
    </row>
    <row r="48" spans="1:12" s="934" customFormat="1" ht="35.1" customHeight="1">
      <c r="A48" s="958"/>
      <c r="B48" s="959" t="s">
        <v>859</v>
      </c>
      <c r="C48" s="960">
        <f>C30+C47</f>
        <v>31984.329000000002</v>
      </c>
      <c r="D48" s="960">
        <f>D30+D47</f>
        <v>4.0701000000000001</v>
      </c>
      <c r="E48" s="961"/>
      <c r="H48" s="921">
        <f>C48/D48</f>
        <v>7858.364413650771</v>
      </c>
    </row>
    <row r="49" spans="1:8" s="934" customFormat="1" ht="15.6">
      <c r="A49" s="962"/>
      <c r="B49" s="963"/>
      <c r="C49" s="964"/>
      <c r="D49" s="964"/>
      <c r="E49" s="171"/>
      <c r="H49" s="965"/>
    </row>
    <row r="50" spans="1:8" s="934" customFormat="1" ht="15.6">
      <c r="A50" s="962"/>
      <c r="B50" s="963"/>
      <c r="C50" s="964"/>
      <c r="D50" s="964"/>
      <c r="E50" s="171"/>
      <c r="H50" s="965"/>
    </row>
    <row r="51" spans="1:8" s="934" customFormat="1" ht="15.6">
      <c r="A51" s="962"/>
      <c r="B51" s="963"/>
      <c r="C51" s="964"/>
      <c r="D51" s="964"/>
      <c r="E51" s="171"/>
      <c r="H51" s="965"/>
    </row>
    <row r="52" spans="1:8" s="934" customFormat="1" ht="15.6">
      <c r="A52" s="962"/>
      <c r="B52" s="963"/>
      <c r="C52" s="964"/>
      <c r="D52" s="964"/>
      <c r="E52" s="171"/>
      <c r="H52" s="965"/>
    </row>
    <row r="53" spans="1:8" s="72" customFormat="1" ht="15.6">
      <c r="A53" s="966" t="s">
        <v>860</v>
      </c>
      <c r="B53" s="967"/>
      <c r="D53" s="968"/>
      <c r="E53" s="969"/>
      <c r="H53" s="900"/>
    </row>
    <row r="54" spans="1:8" s="934" customFormat="1" ht="15.6">
      <c r="A54" s="966" t="s">
        <v>662</v>
      </c>
      <c r="B54" s="963"/>
      <c r="C54" s="964"/>
      <c r="D54" s="968" t="s">
        <v>634</v>
      </c>
      <c r="E54" s="171"/>
      <c r="H54" s="965"/>
    </row>
    <row r="55" spans="1:8" s="77" customFormat="1" ht="15.6">
      <c r="A55" s="76"/>
      <c r="B55" s="970"/>
      <c r="C55" s="971"/>
      <c r="E55" s="972"/>
      <c r="H55" s="973"/>
    </row>
  </sheetData>
  <mergeCells count="3">
    <mergeCell ref="C11:D11"/>
    <mergeCell ref="A35:A36"/>
    <mergeCell ref="B35:B36"/>
  </mergeCells>
  <printOptions horizontalCentered="1"/>
  <pageMargins left="0.78740157480314965" right="0.59055118110236227" top="0.78740157480314965" bottom="0.39370078740157483" header="0.51181102362204722" footer="3.937007874015748E-2"/>
  <pageSetup paperSize="9" scale="85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zoomScaleSheetLayoutView="100" workbookViewId="0">
      <pane ySplit="8" topLeftCell="A9" activePane="bottomLeft" state="frozen"/>
      <selection activeCell="K8" sqref="K8"/>
      <selection pane="bottomLeft" activeCell="K8" sqref="K8"/>
    </sheetView>
  </sheetViews>
  <sheetFormatPr defaultColWidth="9.109375" defaultRowHeight="13.2"/>
  <cols>
    <col min="1" max="1" width="35.5546875" style="22" customWidth="1"/>
    <col min="2" max="6" width="13.44140625" style="22" customWidth="1"/>
    <col min="7" max="7" width="9.109375" style="176"/>
    <col min="8" max="9" width="9.5546875" style="176" bestFit="1" customWidth="1"/>
    <col min="10" max="14" width="9.109375" style="176"/>
    <col min="15" max="16384" width="9.109375" style="22"/>
  </cols>
  <sheetData>
    <row r="1" spans="1:14" ht="17.399999999999999">
      <c r="A1" s="410" t="s">
        <v>631</v>
      </c>
      <c r="F1" s="411" t="s">
        <v>174</v>
      </c>
      <c r="G1" s="22">
        <v>160111.84900000002</v>
      </c>
      <c r="H1" s="452">
        <f>B10+B17+B30+B13</f>
        <v>160111.84900000002</v>
      </c>
      <c r="I1" s="452">
        <f>'Прилож.1-2012г.'!C48</f>
        <v>31984.329000000002</v>
      </c>
      <c r="J1" s="22" t="s">
        <v>863</v>
      </c>
      <c r="K1" s="22" t="s">
        <v>811</v>
      </c>
      <c r="L1" s="22"/>
      <c r="M1" s="22"/>
      <c r="N1" s="22"/>
    </row>
    <row r="2" spans="1:14" ht="20.399999999999999">
      <c r="A2" s="412" t="s">
        <v>360</v>
      </c>
      <c r="B2" s="413"/>
      <c r="C2" s="413"/>
      <c r="D2" s="413"/>
      <c r="E2" s="413"/>
      <c r="F2" s="413"/>
      <c r="G2" s="22">
        <v>31.67743997103705</v>
      </c>
      <c r="H2" s="1035">
        <f>B11+B18+B31+B14</f>
        <v>31.67743997103705</v>
      </c>
      <c r="I2" s="806">
        <f>'Прилож.1-2012г.'!D48</f>
        <v>4.0701000000000001</v>
      </c>
      <c r="J2" s="22"/>
      <c r="K2" s="22"/>
      <c r="L2" s="22"/>
      <c r="M2" s="22"/>
      <c r="N2" s="22"/>
    </row>
    <row r="3" spans="1:14" s="176" customFormat="1">
      <c r="A3" s="22"/>
      <c r="B3" s="22"/>
      <c r="C3" s="22"/>
      <c r="D3" s="22"/>
      <c r="E3" s="22"/>
      <c r="F3" s="22"/>
    </row>
    <row r="4" spans="1:14" ht="21.75" customHeight="1" thickBot="1">
      <c r="A4" s="414" t="s">
        <v>628</v>
      </c>
      <c r="B4" s="414"/>
      <c r="C4" s="414"/>
      <c r="D4" s="414"/>
      <c r="E4" s="414"/>
      <c r="F4" s="414"/>
      <c r="G4" s="22"/>
      <c r="H4" s="442"/>
      <c r="I4" s="22"/>
      <c r="J4" s="22"/>
      <c r="K4" s="22"/>
      <c r="L4" s="22"/>
      <c r="M4" s="22"/>
      <c r="N4" s="22"/>
    </row>
    <row r="5" spans="1:14">
      <c r="A5" s="1950" t="s">
        <v>361</v>
      </c>
      <c r="B5" s="1950"/>
      <c r="C5" s="1950"/>
      <c r="D5" s="1950"/>
      <c r="E5" s="1950"/>
      <c r="F5" s="1950"/>
      <c r="G5" s="22"/>
      <c r="H5" s="442" t="s">
        <v>511</v>
      </c>
      <c r="I5" s="22"/>
      <c r="J5" s="22"/>
      <c r="K5" s="22"/>
      <c r="L5" s="22">
        <v>34391.749000000003</v>
      </c>
      <c r="M5" s="22"/>
      <c r="N5" s="22"/>
    </row>
    <row r="6" spans="1:14" ht="15.6">
      <c r="F6" s="411"/>
      <c r="G6" s="22"/>
      <c r="H6" s="814">
        <f>'П1.30 - 07.06.11г.'!C8</f>
        <v>34391.749000000003</v>
      </c>
      <c r="I6" s="452">
        <f>B13+B17+B30</f>
        <v>34391.749000000003</v>
      </c>
      <c r="J6" s="452">
        <f>I6-H6</f>
        <v>0</v>
      </c>
      <c r="K6" s="22"/>
      <c r="L6" s="22">
        <v>4.3765000000000001</v>
      </c>
      <c r="M6" s="22"/>
      <c r="N6" s="22"/>
    </row>
    <row r="7" spans="1:14" ht="15.75" customHeight="1">
      <c r="A7" s="1950" t="s">
        <v>362</v>
      </c>
      <c r="B7" s="1950" t="s">
        <v>363</v>
      </c>
      <c r="C7" s="1950" t="s">
        <v>364</v>
      </c>
      <c r="D7" s="1950"/>
      <c r="E7" s="1950"/>
      <c r="F7" s="1950"/>
      <c r="G7" s="22"/>
      <c r="H7" s="815">
        <f>'П1.30 - 07.06.11г.'!D8</f>
        <v>4.3764999999999992</v>
      </c>
      <c r="I7" s="806">
        <f>B14+B18+B31</f>
        <v>4.3765000000000001</v>
      </c>
      <c r="J7" s="806">
        <f>I7-H7</f>
        <v>0</v>
      </c>
      <c r="K7" s="22"/>
      <c r="L7" s="22"/>
      <c r="M7" s="22"/>
      <c r="N7" s="22"/>
    </row>
    <row r="8" spans="1:14" ht="15.6">
      <c r="A8" s="1950"/>
      <c r="B8" s="1950"/>
      <c r="C8" s="415" t="s">
        <v>226</v>
      </c>
      <c r="D8" s="415" t="s">
        <v>159</v>
      </c>
      <c r="E8" s="415" t="s">
        <v>160</v>
      </c>
      <c r="F8" s="415" t="s">
        <v>215</v>
      </c>
      <c r="G8" s="22"/>
      <c r="H8" s="22"/>
      <c r="I8" s="22"/>
      <c r="J8" s="22"/>
      <c r="K8" s="22"/>
      <c r="L8" s="22"/>
      <c r="M8" s="22"/>
      <c r="N8" s="22"/>
    </row>
    <row r="9" spans="1:14" ht="21.75" customHeight="1">
      <c r="A9" s="417" t="s">
        <v>365</v>
      </c>
      <c r="B9" s="418"/>
      <c r="C9" s="418"/>
      <c r="D9" s="418"/>
      <c r="E9" s="418"/>
      <c r="F9" s="418"/>
      <c r="G9" s="22"/>
      <c r="H9" s="22"/>
      <c r="I9" s="22"/>
      <c r="J9" s="452">
        <f>-21700+19763+531.558+16.5+40-133.01</f>
        <v>-1481.952</v>
      </c>
      <c r="K9" s="22"/>
      <c r="L9" s="22"/>
      <c r="M9" s="22"/>
      <c r="N9" s="22"/>
    </row>
    <row r="10" spans="1:14" ht="23.25" customHeight="1">
      <c r="A10" s="419" t="s">
        <v>366</v>
      </c>
      <c r="B10" s="420">
        <f>SUM(C10:F10)</f>
        <v>125720.1</v>
      </c>
      <c r="C10" s="420">
        <v>123663.1</v>
      </c>
      <c r="D10" s="420">
        <v>825</v>
      </c>
      <c r="E10" s="420">
        <f>807</f>
        <v>807</v>
      </c>
      <c r="F10" s="420">
        <f>425</f>
        <v>425</v>
      </c>
      <c r="G10" s="22"/>
      <c r="H10" s="22"/>
      <c r="I10" s="69">
        <f>SUM(D10:F10)</f>
        <v>2057</v>
      </c>
      <c r="J10" s="812">
        <f>-2.51+2.51+0.074+0.0033+0.0053-0.01531</f>
        <v>6.7289999999999989E-2</v>
      </c>
      <c r="K10" s="22"/>
      <c r="L10" s="22"/>
      <c r="M10" s="22"/>
      <c r="N10" s="22"/>
    </row>
    <row r="11" spans="1:14" ht="23.25" customHeight="1">
      <c r="A11" s="423" t="s">
        <v>367</v>
      </c>
      <c r="B11" s="992">
        <f>SUM(C11:F11)</f>
        <v>27.30093997103705</v>
      </c>
      <c r="C11" s="424">
        <v>27</v>
      </c>
      <c r="D11" s="424">
        <f>825/6942</f>
        <v>0.11884183232497839</v>
      </c>
      <c r="E11" s="424">
        <f>E10/6837</f>
        <v>0.11803422553751645</v>
      </c>
      <c r="F11" s="424">
        <f>F10/6634</f>
        <v>6.4063913174555315E-2</v>
      </c>
      <c r="G11" s="22"/>
      <c r="H11" s="22"/>
      <c r="I11" s="69">
        <f>I10+531.558+56.5</f>
        <v>2645.058</v>
      </c>
      <c r="J11" s="22"/>
      <c r="K11" s="22"/>
      <c r="L11" s="22"/>
      <c r="M11" s="22"/>
      <c r="N11" s="22"/>
    </row>
    <row r="12" spans="1:14" ht="21.75" customHeight="1">
      <c r="A12" s="417" t="s">
        <v>368</v>
      </c>
      <c r="B12" s="425"/>
      <c r="C12" s="425"/>
      <c r="D12" s="425"/>
      <c r="E12" s="418"/>
      <c r="F12" s="418"/>
      <c r="G12" s="22"/>
      <c r="H12" s="452">
        <f>C10+C17</f>
        <v>128603.74</v>
      </c>
      <c r="I12" s="22"/>
      <c r="J12" s="22"/>
      <c r="K12" s="22"/>
      <c r="L12" s="22"/>
      <c r="M12" s="22"/>
      <c r="N12" s="22"/>
    </row>
    <row r="13" spans="1:14" ht="23.25" customHeight="1">
      <c r="A13" s="419" t="s">
        <v>366</v>
      </c>
      <c r="B13" s="991">
        <f>ROUND((B17+B30)/(1-7/100)*7/100,2)</f>
        <v>2407.42</v>
      </c>
      <c r="C13" s="991"/>
      <c r="D13" s="424"/>
      <c r="E13" s="420"/>
      <c r="F13" s="420"/>
      <c r="G13" s="22"/>
      <c r="H13" s="22"/>
      <c r="I13" s="22"/>
      <c r="J13" s="22"/>
      <c r="K13" s="22"/>
      <c r="L13" s="22"/>
      <c r="M13" s="22"/>
      <c r="N13" s="22"/>
    </row>
    <row r="14" spans="1:14" ht="23.25" customHeight="1">
      <c r="A14" s="423" t="s">
        <v>367</v>
      </c>
      <c r="B14" s="992">
        <f>ROUND((B18+B31)/(1-7/100)*7/100,4)</f>
        <v>0.30640000000000001</v>
      </c>
      <c r="C14" s="992"/>
      <c r="D14" s="424"/>
      <c r="E14" s="424"/>
      <c r="F14" s="424"/>
      <c r="G14" s="22"/>
      <c r="H14" s="22"/>
      <c r="I14" s="22"/>
      <c r="J14" s="22"/>
      <c r="K14" s="22"/>
      <c r="L14" s="22"/>
      <c r="M14" s="22"/>
      <c r="N14" s="22"/>
    </row>
    <row r="15" spans="1:14" ht="21.75" customHeight="1">
      <c r="A15" s="426" t="s">
        <v>369</v>
      </c>
      <c r="B15" s="427"/>
      <c r="C15" s="428"/>
      <c r="D15" s="427"/>
      <c r="E15" s="427"/>
      <c r="F15" s="427"/>
      <c r="G15" s="22"/>
      <c r="H15" s="22"/>
      <c r="I15" s="22"/>
      <c r="J15" s="22"/>
      <c r="K15" s="22"/>
      <c r="L15" s="22"/>
      <c r="M15" s="22"/>
      <c r="N15" s="22"/>
    </row>
    <row r="16" spans="1:14" ht="14.25" customHeight="1">
      <c r="A16" s="429" t="s">
        <v>370</v>
      </c>
      <c r="B16" s="429"/>
      <c r="C16" s="429"/>
      <c r="D16" s="429"/>
      <c r="E16" s="429"/>
      <c r="F16" s="429"/>
      <c r="G16" s="22"/>
      <c r="H16" s="22"/>
      <c r="I16" s="22"/>
      <c r="J16" s="22"/>
      <c r="K16" s="22"/>
      <c r="L16" s="22"/>
      <c r="M16" s="22"/>
      <c r="N16" s="22"/>
    </row>
    <row r="17" spans="1:14" ht="23.25" customHeight="1">
      <c r="A17" s="255" t="s">
        <v>366</v>
      </c>
      <c r="B17" s="993">
        <f>SUM(C17:F17)</f>
        <v>9842.4599999999991</v>
      </c>
      <c r="C17" s="993">
        <f t="shared" ref="C17:F18" si="0">C21+C24+C27</f>
        <v>4940.6400000000003</v>
      </c>
      <c r="D17" s="63">
        <f t="shared" si="0"/>
        <v>0</v>
      </c>
      <c r="E17" s="994">
        <f t="shared" si="0"/>
        <v>4659.2999999999993</v>
      </c>
      <c r="F17" s="994">
        <f t="shared" si="0"/>
        <v>242.52</v>
      </c>
      <c r="H17" s="1006">
        <f>C17+C30</f>
        <v>26190.951000000001</v>
      </c>
    </row>
    <row r="18" spans="1:14" ht="23.25" customHeight="1">
      <c r="A18" s="432" t="s">
        <v>367</v>
      </c>
      <c r="B18" s="995">
        <f>SUM(C18:F18)</f>
        <v>1.2510999999999999</v>
      </c>
      <c r="C18" s="995">
        <f t="shared" si="0"/>
        <v>0.60329999999999995</v>
      </c>
      <c r="D18" s="63">
        <f t="shared" si="0"/>
        <v>0</v>
      </c>
      <c r="E18" s="996">
        <f t="shared" si="0"/>
        <v>0.60309999999999997</v>
      </c>
      <c r="F18" s="996">
        <f t="shared" si="0"/>
        <v>4.4699999999999997E-2</v>
      </c>
      <c r="H18" s="1007">
        <f>C18+C31</f>
        <v>3.3083</v>
      </c>
    </row>
    <row r="19" spans="1:14" ht="14.25" customHeight="1">
      <c r="A19" s="435" t="s">
        <v>189</v>
      </c>
      <c r="B19" s="435"/>
      <c r="C19" s="435"/>
      <c r="D19" s="435"/>
      <c r="E19" s="435"/>
      <c r="F19" s="435"/>
    </row>
    <row r="20" spans="1:14" ht="19.5" customHeight="1">
      <c r="A20" s="436" t="s">
        <v>371</v>
      </c>
      <c r="B20" s="437"/>
      <c r="C20" s="437"/>
      <c r="D20" s="437"/>
      <c r="E20" s="437"/>
      <c r="F20" s="438"/>
    </row>
    <row r="21" spans="1:14" ht="23.25" customHeight="1">
      <c r="A21" s="419" t="s">
        <v>366</v>
      </c>
      <c r="B21" s="990">
        <f>SUM(C21:F21)</f>
        <v>9632.73</v>
      </c>
      <c r="C21" s="990">
        <f>'стр-ра пол.отп. 2012г.июнь'!C14</f>
        <v>4940.6400000000003</v>
      </c>
      <c r="D21" s="63">
        <f>'стр-ра пол.отп. 2012г.июнь'!D14</f>
        <v>0</v>
      </c>
      <c r="E21" s="990">
        <f>'стр-ра пол.отп. 2012г.июнь'!E14</f>
        <v>4637.9399999999996</v>
      </c>
      <c r="F21" s="990">
        <f>'стр-ра пол.отп. 2012г.июнь'!F14</f>
        <v>54.15</v>
      </c>
    </row>
    <row r="22" spans="1:14" ht="23.25" customHeight="1">
      <c r="A22" s="423" t="s">
        <v>367</v>
      </c>
      <c r="B22" s="989">
        <f>SUM(C22:F22)</f>
        <v>1.2093</v>
      </c>
      <c r="C22" s="989">
        <f>'стр-ра пол.отп. 2012г.июнь'!C15</f>
        <v>0.60329999999999995</v>
      </c>
      <c r="D22" s="63">
        <f>'стр-ра пол.отп. 2012г.июнь'!D15</f>
        <v>0</v>
      </c>
      <c r="E22" s="989">
        <f>'стр-ра пол.отп. 2012г.июнь'!E15</f>
        <v>0.5988</v>
      </c>
      <c r="F22" s="989">
        <f>'стр-ра пол.отп. 2012г.июнь'!F15</f>
        <v>7.1999999999999998E-3</v>
      </c>
    </row>
    <row r="23" spans="1:14" ht="30.75" customHeight="1">
      <c r="A23" s="1950" t="s">
        <v>521</v>
      </c>
      <c r="B23" s="1950"/>
      <c r="C23" s="1950"/>
      <c r="D23" s="1950"/>
      <c r="E23" s="1950"/>
      <c r="F23" s="1950"/>
    </row>
    <row r="24" spans="1:14" ht="47.25" customHeight="1">
      <c r="A24" s="419" t="s">
        <v>366</v>
      </c>
      <c r="B24" s="990">
        <f>SUM(C24:F24)</f>
        <v>209.73000000000002</v>
      </c>
      <c r="C24" s="63">
        <v>0</v>
      </c>
      <c r="D24" s="63">
        <v>0</v>
      </c>
      <c r="E24" s="990">
        <f>'стр-ра пол.отп. 2012г.июнь'!E17</f>
        <v>21.36</v>
      </c>
      <c r="F24" s="990">
        <f>'стр-ра пол.отп. 2012г.июнь'!F17</f>
        <v>188.37</v>
      </c>
    </row>
    <row r="25" spans="1:14" ht="23.25" customHeight="1">
      <c r="A25" s="423" t="s">
        <v>367</v>
      </c>
      <c r="B25" s="989">
        <f>SUM(C25:F25)</f>
        <v>4.1799999999999997E-2</v>
      </c>
      <c r="C25" s="63">
        <v>0</v>
      </c>
      <c r="D25" s="63">
        <v>0</v>
      </c>
      <c r="E25" s="989">
        <f>'стр-ра пол.отп. 2012г.июнь'!E18</f>
        <v>4.3E-3</v>
      </c>
      <c r="F25" s="989">
        <f>'стр-ра пол.отп. 2012г.июнь'!F18</f>
        <v>3.7499999999999999E-2</v>
      </c>
      <c r="G25" s="813">
        <f>B24/B25</f>
        <v>5017.4641148325363</v>
      </c>
      <c r="H25" s="813">
        <f>E24/E25</f>
        <v>4967.4418604651164</v>
      </c>
      <c r="I25" s="813">
        <f>F24/F25</f>
        <v>5023.2000000000007</v>
      </c>
    </row>
    <row r="26" spans="1:14" ht="49.5" customHeight="1">
      <c r="A26" s="1950" t="s">
        <v>522</v>
      </c>
      <c r="B26" s="1950"/>
      <c r="C26" s="1950"/>
      <c r="D26" s="1950"/>
      <c r="E26" s="1950"/>
      <c r="F26" s="1950"/>
    </row>
    <row r="27" spans="1:14" ht="23.25" customHeight="1">
      <c r="A27" s="419" t="s">
        <v>366</v>
      </c>
      <c r="B27" s="997">
        <f>SUM(C27:F27)</f>
        <v>0</v>
      </c>
      <c r="C27" s="422"/>
      <c r="D27" s="810"/>
      <c r="E27" s="810"/>
      <c r="F27" s="420"/>
    </row>
    <row r="28" spans="1:14" ht="23.25" customHeight="1">
      <c r="A28" s="423" t="s">
        <v>367</v>
      </c>
      <c r="B28" s="805">
        <f>SUM(C28:F28)</f>
        <v>0</v>
      </c>
      <c r="C28" s="421"/>
      <c r="D28" s="811"/>
      <c r="E28" s="811"/>
      <c r="F28" s="424"/>
    </row>
    <row r="29" spans="1:14" ht="21.75" customHeight="1">
      <c r="A29" s="439" t="s">
        <v>372</v>
      </c>
      <c r="B29" s="435"/>
      <c r="C29" s="435"/>
      <c r="D29" s="435"/>
      <c r="E29" s="435"/>
      <c r="F29" s="435"/>
    </row>
    <row r="30" spans="1:14" ht="23.25" customHeight="1">
      <c r="A30" s="419" t="s">
        <v>366</v>
      </c>
      <c r="B30" s="434">
        <f>SUM(C30:F30)</f>
        <v>22141.869000000002</v>
      </c>
      <c r="C30" s="809">
        <f>23187.311-21700+19763</f>
        <v>21250.311000000002</v>
      </c>
      <c r="D30" s="63">
        <v>0</v>
      </c>
      <c r="E30" s="991">
        <v>360</v>
      </c>
      <c r="F30" s="809">
        <f>531.558</f>
        <v>531.55799999999999</v>
      </c>
      <c r="I30" s="613">
        <v>23680.321</v>
      </c>
    </row>
    <row r="31" spans="1:14" ht="23.25" customHeight="1">
      <c r="A31" s="423" t="s">
        <v>367</v>
      </c>
      <c r="B31" s="996">
        <f>SUM(C31:F31)</f>
        <v>2.819</v>
      </c>
      <c r="C31" s="808">
        <f>2.705-2.51+2.51</f>
        <v>2.7050000000000001</v>
      </c>
      <c r="D31" s="63">
        <v>0</v>
      </c>
      <c r="E31" s="992">
        <v>0.04</v>
      </c>
      <c r="F31" s="808">
        <f>0.074</f>
        <v>7.3999999999999996E-2</v>
      </c>
      <c r="I31" s="346">
        <v>2.7603135126301153</v>
      </c>
    </row>
    <row r="32" spans="1:14" s="442" customFormat="1" ht="15.75" customHeight="1">
      <c r="A32" s="440"/>
      <c r="B32" s="440"/>
      <c r="C32" s="440"/>
      <c r="D32" s="440"/>
      <c r="E32" s="440"/>
      <c r="F32" s="440"/>
      <c r="G32" s="441"/>
      <c r="H32" s="441"/>
      <c r="I32" s="441"/>
      <c r="J32" s="441"/>
      <c r="K32" s="441"/>
      <c r="L32" s="441"/>
      <c r="M32" s="441"/>
      <c r="N32" s="441"/>
    </row>
    <row r="33" spans="1:14" s="442" customFormat="1" ht="15.75" customHeight="1">
      <c r="G33" s="441"/>
      <c r="H33" s="441"/>
      <c r="I33" s="441"/>
      <c r="J33" s="441"/>
      <c r="K33" s="441"/>
      <c r="L33" s="441"/>
      <c r="M33" s="441"/>
      <c r="N33" s="441"/>
    </row>
    <row r="34" spans="1:14" s="358" customFormat="1" ht="15.75" customHeight="1">
      <c r="C34" s="443"/>
      <c r="E34" s="444"/>
      <c r="G34" s="445"/>
      <c r="H34" s="445"/>
      <c r="I34" s="445"/>
      <c r="J34" s="445"/>
      <c r="K34" s="445"/>
      <c r="L34" s="445"/>
      <c r="M34" s="445"/>
      <c r="N34" s="445"/>
    </row>
    <row r="35" spans="1:14" s="358" customFormat="1" ht="15.75" customHeight="1">
      <c r="A35" s="78" t="s">
        <v>176</v>
      </c>
      <c r="B35" s="78"/>
      <c r="C35" s="78"/>
      <c r="D35" s="76" t="s">
        <v>632</v>
      </c>
      <c r="E35" s="78"/>
      <c r="F35" s="78"/>
      <c r="G35" s="445"/>
      <c r="H35" s="445"/>
      <c r="I35" s="445"/>
      <c r="J35" s="445"/>
      <c r="K35" s="445"/>
      <c r="L35" s="445"/>
      <c r="M35" s="445"/>
      <c r="N35" s="445"/>
    </row>
    <row r="36" spans="1:14" s="358" customFormat="1" ht="15.75" customHeight="1">
      <c r="A36" s="78" t="s">
        <v>523</v>
      </c>
      <c r="B36" s="78"/>
      <c r="C36" s="78"/>
      <c r="D36" s="409" t="s">
        <v>659</v>
      </c>
      <c r="E36" s="78"/>
      <c r="F36" s="78"/>
      <c r="G36" s="445"/>
      <c r="H36" s="445"/>
      <c r="I36" s="445"/>
      <c r="J36" s="445"/>
      <c r="K36" s="445"/>
      <c r="L36" s="445"/>
      <c r="M36" s="445"/>
      <c r="N36" s="445"/>
    </row>
    <row r="37" spans="1:14" s="358" customFormat="1" ht="19.5" customHeight="1">
      <c r="B37" s="78"/>
      <c r="C37" s="78"/>
      <c r="D37" s="13" t="s">
        <v>628</v>
      </c>
      <c r="E37" s="78"/>
      <c r="F37" s="78"/>
      <c r="G37" s="445"/>
      <c r="H37" s="445"/>
      <c r="I37" s="445"/>
      <c r="J37" s="445"/>
      <c r="K37" s="445"/>
      <c r="L37" s="445"/>
      <c r="M37" s="445"/>
      <c r="N37" s="445"/>
    </row>
    <row r="38" spans="1:14" s="358" customFormat="1" ht="15.75" customHeight="1">
      <c r="B38" s="78"/>
      <c r="C38" s="78"/>
      <c r="E38" s="447"/>
      <c r="F38" s="197"/>
      <c r="G38" s="445"/>
      <c r="H38" s="445"/>
      <c r="I38" s="445"/>
      <c r="J38" s="445"/>
      <c r="K38" s="445"/>
      <c r="L38" s="445"/>
      <c r="M38" s="445"/>
      <c r="N38" s="445"/>
    </row>
    <row r="39" spans="1:14" ht="15.6">
      <c r="A39" s="78" t="s">
        <v>524</v>
      </c>
      <c r="B39" s="98"/>
      <c r="C39" s="98"/>
      <c r="D39" s="409" t="s">
        <v>660</v>
      </c>
      <c r="E39" s="98"/>
      <c r="F39" s="98"/>
    </row>
    <row r="40" spans="1:14">
      <c r="A40" s="446" t="s">
        <v>373</v>
      </c>
      <c r="B40" s="176"/>
      <c r="C40" s="176"/>
      <c r="D40" s="446" t="s">
        <v>374</v>
      </c>
      <c r="E40" s="176"/>
      <c r="F40" s="448"/>
    </row>
    <row r="41" spans="1:14">
      <c r="A41" s="449"/>
      <c r="B41" s="450"/>
      <c r="C41" s="346"/>
      <c r="D41" s="416"/>
      <c r="E41" s="346"/>
      <c r="F41" s="448"/>
    </row>
    <row r="42" spans="1:14">
      <c r="A42" s="451"/>
      <c r="B42" s="450"/>
      <c r="C42" s="346"/>
      <c r="D42" s="416"/>
      <c r="E42" s="346"/>
      <c r="F42" s="448"/>
    </row>
    <row r="43" spans="1:14">
      <c r="A43" s="176"/>
      <c r="B43" s="416"/>
      <c r="C43" s="416"/>
      <c r="D43" s="416"/>
      <c r="E43" s="346"/>
      <c r="F43" s="448"/>
    </row>
    <row r="44" spans="1:14">
      <c r="A44" s="176"/>
      <c r="B44" s="176"/>
      <c r="C44" s="346"/>
      <c r="D44" s="176"/>
      <c r="E44" s="176"/>
      <c r="F44" s="176"/>
    </row>
    <row r="46" spans="1:14">
      <c r="A46" s="176"/>
    </row>
    <row r="102" spans="4:14">
      <c r="D102" s="29" t="e">
        <f>D127+#REF!</f>
        <v>#REF!</v>
      </c>
      <c r="E102" s="452" t="e">
        <f>E127+#REF!</f>
        <v>#REF!</v>
      </c>
      <c r="G102" s="22"/>
      <c r="H102" s="22"/>
      <c r="I102" s="22"/>
      <c r="J102" s="22"/>
      <c r="K102" s="22"/>
      <c r="L102" s="22"/>
      <c r="M102" s="22"/>
      <c r="N102" s="22"/>
    </row>
    <row r="103" spans="4:14">
      <c r="E103" s="452"/>
      <c r="G103" s="22"/>
      <c r="H103" s="22"/>
      <c r="I103" s="22"/>
      <c r="J103" s="22"/>
      <c r="K103" s="22"/>
      <c r="L103" s="22"/>
      <c r="M103" s="22"/>
      <c r="N103" s="22"/>
    </row>
  </sheetData>
  <mergeCells count="6">
    <mergeCell ref="A23:F23"/>
    <mergeCell ref="A26:F26"/>
    <mergeCell ref="A5:F5"/>
    <mergeCell ref="A7:A8"/>
    <mergeCell ref="B7:B8"/>
    <mergeCell ref="C7:F7"/>
  </mergeCells>
  <printOptions horizontalCentered="1"/>
  <pageMargins left="0.98402777777777783" right="0.98402777777777783" top="0.78749999999999998" bottom="0.11805555555555557" header="0.51180555555555562" footer="0.51180555555555562"/>
  <pageSetup paperSize="9" scale="77" firstPageNumber="0" orientation="portrait" horizontalDpi="300" vertic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46"/>
  <sheetViews>
    <sheetView topLeftCell="A13" zoomScaleSheetLayoutView="75" workbookViewId="0">
      <selection activeCell="K8" sqref="K8"/>
    </sheetView>
  </sheetViews>
  <sheetFormatPr defaultColWidth="9.109375" defaultRowHeight="13.2"/>
  <cols>
    <col min="1" max="1" width="36.6640625" style="821" customWidth="1"/>
    <col min="2" max="2" width="17.88671875" style="821" customWidth="1"/>
    <col min="3" max="3" width="19" style="821" customWidth="1"/>
    <col min="4" max="4" width="18" style="821" customWidth="1"/>
    <col min="5" max="5" width="17.88671875" style="821" customWidth="1"/>
    <col min="6" max="6" width="19.33203125" style="821" customWidth="1"/>
    <col min="7" max="7" width="9.6640625" style="821" customWidth="1"/>
    <col min="8" max="8" width="10.6640625" style="821" bestFit="1" customWidth="1"/>
    <col min="9" max="9" width="9.109375" style="821"/>
    <col min="10" max="10" width="11.33203125" style="821" bestFit="1" customWidth="1"/>
    <col min="11" max="16384" width="9.109375" style="821"/>
  </cols>
  <sheetData>
    <row r="1" spans="1:10" ht="28.5" customHeight="1">
      <c r="A1" s="820"/>
      <c r="E1" s="1950" t="s">
        <v>812</v>
      </c>
      <c r="F1" s="1950"/>
      <c r="G1" s="822" t="s">
        <v>813</v>
      </c>
      <c r="H1" s="822" t="s">
        <v>511</v>
      </c>
      <c r="I1" s="822"/>
      <c r="J1" s="822" t="s">
        <v>814</v>
      </c>
    </row>
    <row r="2" spans="1:10" ht="23.25" customHeight="1">
      <c r="A2" s="1950" t="s">
        <v>815</v>
      </c>
      <c r="B2" s="1950"/>
      <c r="C2" s="1950"/>
      <c r="D2" s="1950"/>
      <c r="E2" s="1950"/>
      <c r="F2" s="1950"/>
      <c r="G2" s="823"/>
      <c r="H2" s="824">
        <f>B10+B26+'2012 Баланс  '!B30</f>
        <v>34391.749000000003</v>
      </c>
      <c r="I2" s="822"/>
      <c r="J2" s="825">
        <f>H2+B23</f>
        <v>36914.659</v>
      </c>
    </row>
    <row r="3" spans="1:10" ht="24" customHeight="1">
      <c r="A3" s="1950" t="s">
        <v>816</v>
      </c>
      <c r="B3" s="1950"/>
      <c r="C3" s="1950"/>
      <c r="D3" s="1950"/>
      <c r="E3" s="1950"/>
      <c r="F3" s="1950"/>
      <c r="G3" s="823"/>
      <c r="H3" s="1000">
        <f>B11+B27+'2012 Баланс  '!B31</f>
        <v>4.3765000000000001</v>
      </c>
      <c r="I3" s="822"/>
      <c r="J3" s="825">
        <f>H3+B24</f>
        <v>4.7465000000000002</v>
      </c>
    </row>
    <row r="4" spans="1:10" ht="16.5" customHeight="1">
      <c r="A4" s="1950" t="s">
        <v>361</v>
      </c>
      <c r="B4" s="1950"/>
      <c r="C4" s="1950"/>
      <c r="D4" s="1950"/>
      <c r="E4" s="1950"/>
      <c r="F4" s="1950"/>
      <c r="G4" s="823"/>
    </row>
    <row r="5" spans="1:10" ht="8.25" customHeight="1" thickBot="1">
      <c r="A5" s="826"/>
      <c r="B5" s="826"/>
      <c r="C5" s="826"/>
      <c r="D5" s="826"/>
      <c r="E5" s="826"/>
      <c r="F5" s="826"/>
      <c r="G5" s="823"/>
    </row>
    <row r="6" spans="1:10" ht="24" customHeight="1" thickBot="1">
      <c r="A6" s="1950" t="s">
        <v>362</v>
      </c>
      <c r="B6" s="1950" t="s">
        <v>214</v>
      </c>
      <c r="C6" s="1950" t="s">
        <v>364</v>
      </c>
      <c r="D6" s="1950"/>
      <c r="E6" s="1950"/>
      <c r="F6" s="1950"/>
      <c r="G6" s="827"/>
      <c r="J6" s="828">
        <f>H2+B23</f>
        <v>36914.659</v>
      </c>
    </row>
    <row r="7" spans="1:10" ht="45" customHeight="1" thickBot="1">
      <c r="A7" s="1950"/>
      <c r="B7" s="1950"/>
      <c r="C7" s="829" t="s">
        <v>226</v>
      </c>
      <c r="D7" s="829" t="s">
        <v>159</v>
      </c>
      <c r="E7" s="829" t="s">
        <v>160</v>
      </c>
      <c r="F7" s="830" t="s">
        <v>215</v>
      </c>
      <c r="G7" s="831" t="s">
        <v>830</v>
      </c>
      <c r="H7" s="832"/>
      <c r="J7" s="833">
        <f>H3+B24</f>
        <v>4.7465000000000002</v>
      </c>
    </row>
    <row r="8" spans="1:10" ht="31.5" customHeight="1">
      <c r="A8" s="1950" t="s">
        <v>978</v>
      </c>
      <c r="B8" s="1950"/>
      <c r="C8" s="1950"/>
      <c r="D8" s="1950"/>
      <c r="E8" s="1950"/>
      <c r="F8" s="1950"/>
      <c r="G8" s="831">
        <f>4940.64+4637.94+21.36+54.15+188.37</f>
        <v>9842.4600000000009</v>
      </c>
      <c r="H8" s="831">
        <f>0.6033+0.5988+0.0043+0.0072+0.0375</f>
        <v>1.2511000000000001</v>
      </c>
    </row>
    <row r="9" spans="1:10" ht="24" customHeight="1" thickBot="1">
      <c r="A9" s="1950" t="s">
        <v>370</v>
      </c>
      <c r="B9" s="1950"/>
      <c r="C9" s="1950"/>
      <c r="D9" s="1950"/>
      <c r="E9" s="1950"/>
      <c r="F9" s="1950"/>
      <c r="G9" s="834"/>
    </row>
    <row r="10" spans="1:10" ht="37.5" customHeight="1">
      <c r="A10" s="835" t="s">
        <v>817</v>
      </c>
      <c r="B10" s="893">
        <f>SUM(C10:F10)</f>
        <v>9842.4599999999991</v>
      </c>
      <c r="C10" s="893">
        <f>C14+C17+C20</f>
        <v>4940.6400000000003</v>
      </c>
      <c r="D10" s="893">
        <f t="shared" ref="D10:F11" si="0">D14+D17+D20</f>
        <v>0</v>
      </c>
      <c r="E10" s="893">
        <f t="shared" si="0"/>
        <v>4659.2999999999993</v>
      </c>
      <c r="F10" s="894">
        <f t="shared" si="0"/>
        <v>242.52</v>
      </c>
      <c r="G10" s="834"/>
    </row>
    <row r="11" spans="1:10" ht="34.5" customHeight="1" thickBot="1">
      <c r="A11" s="836" t="s">
        <v>367</v>
      </c>
      <c r="B11" s="895">
        <f>SUM(C11:F11)</f>
        <v>1.2510999999999999</v>
      </c>
      <c r="C11" s="895">
        <f>C15+C18+C21</f>
        <v>0.60329999999999995</v>
      </c>
      <c r="D11" s="895">
        <f t="shared" si="0"/>
        <v>0</v>
      </c>
      <c r="E11" s="895">
        <f t="shared" si="0"/>
        <v>0.60309999999999997</v>
      </c>
      <c r="F11" s="896">
        <f t="shared" si="0"/>
        <v>4.4699999999999997E-2</v>
      </c>
      <c r="G11" s="834"/>
      <c r="H11" s="837">
        <f>B10/B11</f>
        <v>7867.0450003996484</v>
      </c>
    </row>
    <row r="12" spans="1:10" ht="25.5" customHeight="1">
      <c r="A12" s="1950" t="s">
        <v>818</v>
      </c>
      <c r="B12" s="1950"/>
      <c r="C12" s="1950"/>
      <c r="D12" s="1950"/>
      <c r="E12" s="1950"/>
      <c r="F12" s="1950"/>
      <c r="G12" s="834"/>
    </row>
    <row r="13" spans="1:10" ht="31.5" customHeight="1" thickBot="1">
      <c r="A13" s="1950" t="s">
        <v>819</v>
      </c>
      <c r="B13" s="1950"/>
      <c r="C13" s="1950"/>
      <c r="D13" s="1950"/>
      <c r="E13" s="1950"/>
      <c r="F13" s="1950"/>
      <c r="G13" s="834"/>
      <c r="H13" s="838" t="s">
        <v>820</v>
      </c>
      <c r="I13" s="838"/>
    </row>
    <row r="14" spans="1:10" ht="41.25" customHeight="1">
      <c r="A14" s="839" t="s">
        <v>817</v>
      </c>
      <c r="B14" s="884">
        <f>SUM(C14:F14)</f>
        <v>9632.73</v>
      </c>
      <c r="C14" s="882">
        <v>4940.6400000000003</v>
      </c>
      <c r="D14" s="840"/>
      <c r="E14" s="885">
        <v>4637.9399999999996</v>
      </c>
      <c r="F14" s="886">
        <v>54.15</v>
      </c>
      <c r="G14" s="838" t="s">
        <v>226</v>
      </c>
      <c r="H14" s="838" t="s">
        <v>160</v>
      </c>
      <c r="I14" s="838" t="s">
        <v>215</v>
      </c>
      <c r="J14" s="841">
        <f>B14+B17</f>
        <v>9842.4599999999991</v>
      </c>
    </row>
    <row r="15" spans="1:10" ht="32.25" customHeight="1" thickBot="1">
      <c r="A15" s="836" t="s">
        <v>367</v>
      </c>
      <c r="B15" s="889">
        <f>SUM(C15:F15)</f>
        <v>1.2093</v>
      </c>
      <c r="C15" s="883">
        <v>0.60329999999999995</v>
      </c>
      <c r="D15" s="842"/>
      <c r="E15" s="887">
        <v>0.5988</v>
      </c>
      <c r="F15" s="888">
        <v>7.1999999999999998E-3</v>
      </c>
      <c r="G15" s="843">
        <v>8417.0198482290671</v>
      </c>
      <c r="H15" s="843">
        <v>7944.8658008658012</v>
      </c>
      <c r="I15" s="843">
        <v>8685.7929472314718</v>
      </c>
      <c r="J15" s="821">
        <f>3015.8+16655+1330+133.01+2540</f>
        <v>23673.809999999998</v>
      </c>
    </row>
    <row r="16" spans="1:10" ht="46.5" customHeight="1" thickBot="1">
      <c r="A16" s="1950" t="s">
        <v>821</v>
      </c>
      <c r="B16" s="1950"/>
      <c r="C16" s="1950"/>
      <c r="D16" s="1950"/>
      <c r="E16" s="1950"/>
      <c r="F16" s="1950"/>
      <c r="G16" s="843">
        <f>C14/C15</f>
        <v>8189.3585280954758</v>
      </c>
      <c r="H16" s="843">
        <f>E14/E15</f>
        <v>7745.3907815631255</v>
      </c>
      <c r="I16" s="843">
        <f>F14/F15</f>
        <v>7520.833333333333</v>
      </c>
    </row>
    <row r="17" spans="1:10" ht="39.75" customHeight="1">
      <c r="A17" s="835" t="s">
        <v>817</v>
      </c>
      <c r="B17" s="890">
        <f>SUM(C17:F17)</f>
        <v>209.73000000000002</v>
      </c>
      <c r="C17" s="891"/>
      <c r="D17" s="891"/>
      <c r="E17" s="891">
        <v>21.36</v>
      </c>
      <c r="F17" s="892">
        <v>188.37</v>
      </c>
      <c r="G17" s="845" t="s">
        <v>829</v>
      </c>
      <c r="H17" s="846">
        <f>E14/H15</f>
        <v>0.58376568166759657</v>
      </c>
      <c r="I17" s="846">
        <f>F14/I15</f>
        <v>6.234318539363742E-3</v>
      </c>
    </row>
    <row r="18" spans="1:10" ht="30.75" customHeight="1" thickBot="1">
      <c r="A18" s="836" t="s">
        <v>367</v>
      </c>
      <c r="B18" s="889">
        <f>SUM(C18:F18)</f>
        <v>4.1799999999999997E-2</v>
      </c>
      <c r="C18" s="887"/>
      <c r="D18" s="887"/>
      <c r="E18" s="887">
        <v>4.3E-3</v>
      </c>
      <c r="F18" s="888">
        <v>3.7499999999999999E-2</v>
      </c>
      <c r="G18" s="897">
        <f>B17/B18</f>
        <v>5017.4641148325363</v>
      </c>
      <c r="H18" s="847">
        <v>7978.421164032</v>
      </c>
      <c r="I18" s="848" t="s">
        <v>160</v>
      </c>
    </row>
    <row r="19" spans="1:10" ht="71.25" customHeight="1" thickBot="1">
      <c r="A19" s="1950" t="s">
        <v>822</v>
      </c>
      <c r="B19" s="1950"/>
      <c r="C19" s="1950"/>
      <c r="D19" s="1950"/>
      <c r="E19" s="1950"/>
      <c r="F19" s="1950"/>
      <c r="H19" s="849">
        <v>7778.1036563999987</v>
      </c>
      <c r="I19" s="849">
        <f>H19-H18</f>
        <v>-200.31750763200125</v>
      </c>
    </row>
    <row r="20" spans="1:10" ht="34.5" customHeight="1">
      <c r="A20" s="835" t="s">
        <v>817</v>
      </c>
      <c r="B20" s="850">
        <f>SUM(C20:F20)</f>
        <v>0</v>
      </c>
      <c r="C20" s="844"/>
      <c r="D20" s="844"/>
      <c r="E20" s="851"/>
      <c r="F20" s="852"/>
      <c r="H20" s="853">
        <v>174.48708787200002</v>
      </c>
      <c r="I20" s="854" t="s">
        <v>215</v>
      </c>
      <c r="J20" s="855"/>
    </row>
    <row r="21" spans="1:10" ht="26.25" customHeight="1" thickBot="1">
      <c r="A21" s="836" t="s">
        <v>367</v>
      </c>
      <c r="B21" s="856">
        <f>SUM(C21:F21)</f>
        <v>0</v>
      </c>
      <c r="C21" s="842"/>
      <c r="D21" s="842"/>
      <c r="E21" s="857"/>
      <c r="F21" s="858"/>
      <c r="H21" s="853">
        <v>151.08445649999996</v>
      </c>
      <c r="I21" s="853">
        <f>H21-H20</f>
        <v>-23.402631372000059</v>
      </c>
    </row>
    <row r="22" spans="1:10" ht="34.5" customHeight="1" thickBot="1">
      <c r="A22" s="1950" t="s">
        <v>979</v>
      </c>
      <c r="B22" s="1950"/>
      <c r="C22" s="1950"/>
      <c r="D22" s="1950"/>
      <c r="E22" s="1950"/>
      <c r="F22" s="1950"/>
      <c r="I22" s="859">
        <f>I21+I19</f>
        <v>-223.72013900400131</v>
      </c>
    </row>
    <row r="23" spans="1:10" ht="33" customHeight="1">
      <c r="A23" s="860" t="s">
        <v>817</v>
      </c>
      <c r="B23" s="893">
        <f>SUM(C23:F23)</f>
        <v>2522.91</v>
      </c>
      <c r="C23" s="987" t="s">
        <v>862</v>
      </c>
      <c r="D23" s="885">
        <v>485.92</v>
      </c>
      <c r="E23" s="885">
        <v>1572.61</v>
      </c>
      <c r="F23" s="886">
        <v>464.38</v>
      </c>
    </row>
    <row r="24" spans="1:10" ht="28.5" customHeight="1" thickBot="1">
      <c r="A24" s="861" t="s">
        <v>367</v>
      </c>
      <c r="B24" s="984">
        <f>SUM(C24:F24)</f>
        <v>0.37000000000000005</v>
      </c>
      <c r="C24" s="988"/>
      <c r="D24" s="985">
        <v>7.0000000000000007E-2</v>
      </c>
      <c r="E24" s="985">
        <v>0.23</v>
      </c>
      <c r="F24" s="986">
        <v>7.0000000000000007E-2</v>
      </c>
      <c r="H24" s="843"/>
    </row>
    <row r="25" spans="1:10" ht="48" customHeight="1" thickBot="1">
      <c r="A25" s="1950" t="s">
        <v>980</v>
      </c>
      <c r="B25" s="1950"/>
      <c r="C25" s="1950"/>
      <c r="D25" s="1950"/>
      <c r="E25" s="1950"/>
      <c r="F25" s="1950"/>
      <c r="H25" s="862"/>
    </row>
    <row r="26" spans="1:10" ht="28.5" customHeight="1" thickBot="1">
      <c r="A26" s="860" t="s">
        <v>817</v>
      </c>
      <c r="B26" s="998">
        <f>ROUND((B10+22141.869)/(1-7/100)*7/100,2)</f>
        <v>2407.42</v>
      </c>
      <c r="C26" s="863"/>
      <c r="D26" s="864"/>
      <c r="E26" s="864"/>
      <c r="F26" s="865"/>
      <c r="H26" s="866">
        <v>6.7002686681324156E-2</v>
      </c>
    </row>
    <row r="27" spans="1:10" ht="28.5" customHeight="1" thickBot="1">
      <c r="A27" s="867" t="s">
        <v>367</v>
      </c>
      <c r="B27" s="999">
        <f>ROUND(((B11+2.819)/(1-7/100))*7/100,4)</f>
        <v>0.30640000000000001</v>
      </c>
      <c r="C27" s="868"/>
      <c r="D27" s="869"/>
      <c r="E27" s="869"/>
      <c r="F27" s="870"/>
      <c r="H27" s="843" t="e">
        <f>C26/C27</f>
        <v>#DIV/0!</v>
      </c>
      <c r="J27" s="871">
        <f>(3015.8+16655+1330+2540+133.1)</f>
        <v>23673.899999999998</v>
      </c>
    </row>
    <row r="28" spans="1:10" ht="28.5" customHeight="1">
      <c r="A28" s="872"/>
      <c r="B28" s="873"/>
      <c r="C28" s="834"/>
      <c r="D28" s="834"/>
      <c r="E28" s="874"/>
      <c r="F28" s="874"/>
      <c r="J28" s="875">
        <f>J27+B10</f>
        <v>33516.36</v>
      </c>
    </row>
    <row r="29" spans="1:10" ht="17.25" hidden="1" customHeight="1">
      <c r="A29" s="1950" t="s">
        <v>823</v>
      </c>
      <c r="B29" s="1950"/>
      <c r="C29" s="1950"/>
      <c r="D29" s="1950"/>
      <c r="E29" s="1950"/>
      <c r="F29" s="1950"/>
      <c r="H29" s="876">
        <v>2529.6585698924755</v>
      </c>
      <c r="J29" s="821">
        <f>0.42+2.08+0.386+0.019</f>
        <v>2.9050000000000002</v>
      </c>
    </row>
    <row r="30" spans="1:10" ht="17.25" hidden="1" customHeight="1" thickBot="1">
      <c r="A30" s="1950" t="s">
        <v>861</v>
      </c>
      <c r="B30" s="1950"/>
      <c r="C30" s="1950"/>
      <c r="D30" s="1950"/>
      <c r="E30" s="1950"/>
      <c r="F30" s="1950"/>
      <c r="H30" s="877">
        <v>0.30878444310860748</v>
      </c>
      <c r="I30" s="878">
        <f>H29/H30</f>
        <v>8192.3122305832258</v>
      </c>
      <c r="J30" s="879">
        <f>J29+B11</f>
        <v>4.1561000000000003</v>
      </c>
    </row>
    <row r="31" spans="1:10" hidden="1">
      <c r="A31" s="1950" t="s">
        <v>824</v>
      </c>
      <c r="B31" s="1950"/>
      <c r="C31" s="1950"/>
      <c r="D31" s="1950"/>
      <c r="E31" s="1950"/>
      <c r="F31" s="1950"/>
      <c r="J31" s="855">
        <f>J28/J30</f>
        <v>8064.3776617501981</v>
      </c>
    </row>
    <row r="32" spans="1:10">
      <c r="A32" s="1950" t="s">
        <v>981</v>
      </c>
      <c r="B32" s="1950"/>
      <c r="D32" s="1950" t="s">
        <v>825</v>
      </c>
      <c r="E32" s="1950"/>
      <c r="F32" s="1950"/>
    </row>
    <row r="33" spans="1:6">
      <c r="A33" s="1950"/>
      <c r="B33" s="1950"/>
      <c r="D33" s="1950"/>
      <c r="E33" s="1950"/>
      <c r="F33" s="1950"/>
    </row>
    <row r="34" spans="1:6">
      <c r="A34" s="1950"/>
      <c r="B34" s="1950"/>
      <c r="D34" s="1950"/>
      <c r="E34" s="1950"/>
      <c r="F34" s="1950"/>
    </row>
    <row r="35" spans="1:6">
      <c r="A35" s="1950"/>
      <c r="B35" s="1950"/>
      <c r="D35" s="1950"/>
      <c r="E35" s="1950"/>
      <c r="F35" s="1950"/>
    </row>
    <row r="36" spans="1:6" s="880" customFormat="1">
      <c r="A36" s="1950"/>
      <c r="B36" s="1950"/>
      <c r="D36" s="1950"/>
      <c r="E36" s="1950"/>
      <c r="F36" s="1950"/>
    </row>
    <row r="37" spans="1:6" s="880" customFormat="1">
      <c r="A37" s="1950"/>
      <c r="B37" s="1950"/>
      <c r="D37" s="1950"/>
      <c r="E37" s="1950"/>
      <c r="F37" s="1950"/>
    </row>
    <row r="38" spans="1:6" s="880" customFormat="1" ht="25.5" customHeight="1">
      <c r="A38" s="1050" t="s">
        <v>816</v>
      </c>
      <c r="B38" s="1047"/>
      <c r="D38" s="1047"/>
      <c r="E38" s="1047"/>
      <c r="F38" s="1047"/>
    </row>
    <row r="39" spans="1:6" s="880" customFormat="1" ht="32.25" customHeight="1">
      <c r="A39" s="1950" t="s">
        <v>982</v>
      </c>
      <c r="B39" s="1950"/>
      <c r="D39" s="1950" t="s">
        <v>826</v>
      </c>
      <c r="E39" s="1950"/>
      <c r="F39" s="1950"/>
    </row>
    <row r="40" spans="1:6" s="880" customFormat="1">
      <c r="A40" s="1950" t="s">
        <v>827</v>
      </c>
      <c r="B40" s="1950"/>
      <c r="D40" s="1950" t="s">
        <v>827</v>
      </c>
      <c r="E40" s="1950"/>
      <c r="F40" s="1950"/>
    </row>
    <row r="41" spans="1:6" s="880" customFormat="1">
      <c r="A41" s="1950" t="s">
        <v>828</v>
      </c>
      <c r="B41" s="1950"/>
      <c r="D41" s="1950" t="s">
        <v>828</v>
      </c>
      <c r="E41" s="1950"/>
      <c r="F41" s="1950"/>
    </row>
    <row r="46" spans="1:6">
      <c r="D46" s="881"/>
    </row>
  </sheetData>
  <mergeCells count="26">
    <mergeCell ref="E1:F1"/>
    <mergeCell ref="A2:F2"/>
    <mergeCell ref="A3:F3"/>
    <mergeCell ref="A4:F4"/>
    <mergeCell ref="A6:A7"/>
    <mergeCell ref="B6:B7"/>
    <mergeCell ref="C6:F6"/>
    <mergeCell ref="A32:B37"/>
    <mergeCell ref="D32:F37"/>
    <mergeCell ref="A8:F8"/>
    <mergeCell ref="A9:F9"/>
    <mergeCell ref="A12:F12"/>
    <mergeCell ref="A13:F13"/>
    <mergeCell ref="A16:F16"/>
    <mergeCell ref="A19:F19"/>
    <mergeCell ref="A22:F22"/>
    <mergeCell ref="A25:F25"/>
    <mergeCell ref="A29:F29"/>
    <mergeCell ref="A30:F30"/>
    <mergeCell ref="A31:F31"/>
    <mergeCell ref="A39:B39"/>
    <mergeCell ref="D39:F39"/>
    <mergeCell ref="A40:B40"/>
    <mergeCell ref="D40:F40"/>
    <mergeCell ref="A41:B41"/>
    <mergeCell ref="D41:F41"/>
  </mergeCells>
  <pageMargins left="1.4958333333333333" right="0.74791666666666667" top="0.98402777777777783" bottom="0.98402777777777783" header="0.51180555555555562" footer="0.51180555555555562"/>
  <pageSetup paperSize="9" scale="57" firstPageNumber="0" orientation="portrait" horizontalDpi="300" vertic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P277"/>
  <sheetViews>
    <sheetView zoomScaleNormal="100" workbookViewId="0">
      <pane ySplit="7" topLeftCell="A8" activePane="bottomLeft" state="frozenSplit"/>
      <selection activeCell="K8" sqref="K8"/>
      <selection pane="bottomLeft" activeCell="K8" sqref="K8"/>
    </sheetView>
  </sheetViews>
  <sheetFormatPr defaultColWidth="9.109375" defaultRowHeight="13.2"/>
  <cols>
    <col min="1" max="1" width="7.88671875" style="618" customWidth="1"/>
    <col min="2" max="2" width="35.33203125" style="618" customWidth="1"/>
    <col min="3" max="3" width="12.33203125" style="617" customWidth="1"/>
    <col min="4" max="4" width="10.88671875" style="1022" customWidth="1"/>
    <col min="5" max="5" width="10.44140625" style="618" customWidth="1"/>
    <col min="6" max="6" width="10.33203125" style="618" customWidth="1"/>
    <col min="7" max="7" width="9.5546875" style="618" bestFit="1" customWidth="1"/>
    <col min="8" max="8" width="13.6640625" style="619" customWidth="1"/>
    <col min="9" max="9" width="9.109375" style="618"/>
    <col min="10" max="10" width="11.109375" style="618" bestFit="1" customWidth="1"/>
    <col min="11" max="11" width="9.109375" style="618"/>
    <col min="12" max="12" width="10.5546875" style="618" bestFit="1" customWidth="1"/>
    <col min="13" max="16384" width="9.109375" style="618"/>
  </cols>
  <sheetData>
    <row r="1" spans="1:16">
      <c r="A1" s="620"/>
      <c r="B1" s="620"/>
      <c r="C1" s="620"/>
      <c r="D1" s="1012"/>
      <c r="E1" s="620"/>
      <c r="F1" s="628" t="s">
        <v>375</v>
      </c>
      <c r="G1" s="620"/>
      <c r="H1" s="629">
        <f>'стр-ра пол.отп. 2012г.июнь'!H2</f>
        <v>34391.749000000003</v>
      </c>
      <c r="J1" s="629">
        <f>C17+C16</f>
        <v>34391.749000000003</v>
      </c>
    </row>
    <row r="2" spans="1:16">
      <c r="A2" s="620"/>
      <c r="B2" s="620"/>
      <c r="C2" s="620"/>
      <c r="D2" s="1012"/>
      <c r="E2" s="620"/>
      <c r="F2" s="620"/>
      <c r="G2" s="620"/>
      <c r="H2" s="1008">
        <f>'стр-ра пол.отп. 2012г.июнь'!H3</f>
        <v>4.3765000000000001</v>
      </c>
      <c r="J2" s="1008">
        <f>D17+D16</f>
        <v>4.3764999999999992</v>
      </c>
    </row>
    <row r="3" spans="1:16">
      <c r="A3" s="620"/>
      <c r="B3" s="620"/>
      <c r="C3" s="620"/>
      <c r="D3" s="1012"/>
      <c r="E3" s="620"/>
      <c r="F3" s="630" t="s">
        <v>376</v>
      </c>
      <c r="G3" s="620"/>
    </row>
    <row r="4" spans="1:16">
      <c r="A4" s="1950" t="s">
        <v>377</v>
      </c>
      <c r="B4" s="1950"/>
      <c r="C4" s="1950"/>
      <c r="D4" s="1950"/>
      <c r="E4" s="1950"/>
      <c r="F4" s="1950"/>
      <c r="G4" s="620"/>
    </row>
    <row r="5" spans="1:16">
      <c r="A5" s="1950" t="s">
        <v>627</v>
      </c>
      <c r="B5" s="1950"/>
      <c r="C5" s="1950"/>
      <c r="D5" s="1950"/>
      <c r="E5" s="1950"/>
      <c r="F5" s="1950"/>
      <c r="G5" s="620"/>
    </row>
    <row r="6" spans="1:16" ht="52.8">
      <c r="A6" s="631" t="s">
        <v>171</v>
      </c>
      <c r="B6" s="631"/>
      <c r="C6" s="631" t="s">
        <v>378</v>
      </c>
      <c r="D6" s="1013" t="s">
        <v>379</v>
      </c>
      <c r="E6" s="631" t="s">
        <v>380</v>
      </c>
      <c r="F6" s="631" t="s">
        <v>381</v>
      </c>
      <c r="G6" s="632"/>
      <c r="H6" s="633"/>
      <c r="I6" s="634"/>
      <c r="J6" s="634"/>
      <c r="K6" s="634"/>
      <c r="L6" s="634"/>
      <c r="M6" s="634"/>
      <c r="N6" s="634"/>
      <c r="O6" s="634"/>
      <c r="P6" s="634"/>
    </row>
    <row r="7" spans="1:16">
      <c r="A7" s="635">
        <v>1</v>
      </c>
      <c r="B7" s="635"/>
      <c r="C7" s="636">
        <v>3</v>
      </c>
      <c r="D7" s="1023">
        <v>4</v>
      </c>
      <c r="E7" s="636">
        <v>5</v>
      </c>
      <c r="F7" s="636">
        <v>6</v>
      </c>
      <c r="G7" s="632"/>
      <c r="H7" s="633"/>
      <c r="I7" s="634"/>
      <c r="J7" s="634"/>
      <c r="K7" s="634"/>
      <c r="L7" s="634"/>
      <c r="M7" s="634"/>
      <c r="N7" s="634"/>
      <c r="O7" s="634"/>
      <c r="P7" s="634"/>
    </row>
    <row r="8" spans="1:16" ht="26.4">
      <c r="A8" s="637" t="s">
        <v>382</v>
      </c>
      <c r="B8" s="638" t="s">
        <v>383</v>
      </c>
      <c r="C8" s="650">
        <f>C11</f>
        <v>34391.749000000003</v>
      </c>
      <c r="D8" s="1014">
        <f>D11</f>
        <v>4.3764999999999992</v>
      </c>
      <c r="E8" s="639"/>
      <c r="F8" s="639"/>
      <c r="G8" s="640"/>
      <c r="H8" s="641"/>
      <c r="I8" s="642"/>
      <c r="J8" s="643">
        <f>C8-H1</f>
        <v>0</v>
      </c>
      <c r="K8" s="634"/>
      <c r="L8" s="640"/>
      <c r="M8" s="640"/>
      <c r="N8" s="634"/>
      <c r="O8" s="634"/>
      <c r="P8" s="634"/>
    </row>
    <row r="9" spans="1:16">
      <c r="A9" s="637"/>
      <c r="B9" s="644" t="s">
        <v>384</v>
      </c>
      <c r="C9" s="650"/>
      <c r="D9" s="1014"/>
      <c r="E9" s="639"/>
      <c r="F9" s="639"/>
      <c r="G9" s="634"/>
      <c r="H9" s="633"/>
      <c r="I9" s="634"/>
      <c r="J9" s="634"/>
      <c r="K9" s="634"/>
      <c r="L9" s="634"/>
      <c r="M9" s="634"/>
      <c r="N9" s="634"/>
      <c r="O9" s="634"/>
      <c r="P9" s="634"/>
    </row>
    <row r="10" spans="1:16">
      <c r="A10" s="637" t="s">
        <v>385</v>
      </c>
      <c r="B10" s="644" t="s">
        <v>405</v>
      </c>
      <c r="C10" s="668"/>
      <c r="D10" s="1014"/>
      <c r="E10" s="639"/>
      <c r="F10" s="639"/>
      <c r="G10" s="640"/>
      <c r="H10" s="645"/>
      <c r="I10" s="634"/>
      <c r="J10" s="634"/>
      <c r="K10" s="634"/>
      <c r="L10" s="634"/>
      <c r="M10" s="634"/>
      <c r="N10" s="634"/>
      <c r="O10" s="634"/>
      <c r="P10" s="634"/>
    </row>
    <row r="11" spans="1:16">
      <c r="A11" s="637" t="s">
        <v>386</v>
      </c>
      <c r="B11" s="644" t="s">
        <v>387</v>
      </c>
      <c r="C11" s="650">
        <f>C13+C14</f>
        <v>34391.749000000003</v>
      </c>
      <c r="D11" s="1014">
        <f>D13+D14</f>
        <v>4.3764999999999992</v>
      </c>
      <c r="E11" s="639"/>
      <c r="F11" s="639"/>
      <c r="G11" s="1010" t="s">
        <v>291</v>
      </c>
      <c r="H11" s="633"/>
      <c r="I11" s="1010" t="s">
        <v>864</v>
      </c>
      <c r="J11" s="634"/>
      <c r="K11" s="634"/>
      <c r="L11" s="634"/>
      <c r="M11" s="634"/>
      <c r="N11" s="634"/>
      <c r="O11" s="634"/>
      <c r="P11" s="634"/>
    </row>
    <row r="12" spans="1:16">
      <c r="A12" s="637"/>
      <c r="B12" s="644" t="s">
        <v>384</v>
      </c>
      <c r="C12" s="650"/>
      <c r="D12" s="1014"/>
      <c r="E12" s="639"/>
      <c r="F12" s="639"/>
      <c r="G12" s="1010">
        <f>C13/D13</f>
        <v>7869.5428505160653</v>
      </c>
      <c r="H12" s="647">
        <f>H17+H16</f>
        <v>36015.740999999995</v>
      </c>
      <c r="I12" s="1010">
        <f>C14/D14</f>
        <v>7110.9999999999991</v>
      </c>
      <c r="J12" s="634"/>
      <c r="K12" s="634"/>
      <c r="L12" s="634"/>
      <c r="M12" s="634"/>
      <c r="N12" s="634"/>
      <c r="O12" s="634"/>
      <c r="P12" s="634"/>
    </row>
    <row r="13" spans="1:16">
      <c r="A13" s="637" t="s">
        <v>388</v>
      </c>
      <c r="B13" s="644" t="s">
        <v>324</v>
      </c>
      <c r="C13" s="650">
        <f>C16+C17-C14</f>
        <v>33929.534000000007</v>
      </c>
      <c r="D13" s="1014">
        <f>D16+D17-D14</f>
        <v>4.3114999999999988</v>
      </c>
      <c r="E13" s="639"/>
      <c r="F13" s="639"/>
      <c r="G13" s="651" t="s">
        <v>187</v>
      </c>
      <c r="H13" s="648"/>
      <c r="I13" s="634"/>
      <c r="J13" s="634"/>
      <c r="K13" s="649"/>
      <c r="L13" s="634"/>
      <c r="M13" s="634"/>
      <c r="N13" s="634"/>
      <c r="O13" s="634"/>
      <c r="P13" s="634"/>
    </row>
    <row r="14" spans="1:16">
      <c r="A14" s="1001" t="s">
        <v>389</v>
      </c>
      <c r="B14" s="1002" t="s">
        <v>983</v>
      </c>
      <c r="C14" s="1003">
        <f>C80</f>
        <v>462.21499999999997</v>
      </c>
      <c r="D14" s="1015">
        <f>D80</f>
        <v>6.5000000000000002E-2</v>
      </c>
      <c r="E14" s="639"/>
      <c r="F14" s="639"/>
      <c r="G14" s="651">
        <f>C16/C8</f>
        <v>6.9999929343517828E-2</v>
      </c>
      <c r="H14" s="651">
        <f>D16/D8</f>
        <v>7.0010282188963796E-2</v>
      </c>
      <c r="I14" s="634"/>
      <c r="J14" s="634"/>
      <c r="K14" s="634"/>
      <c r="L14" s="634"/>
      <c r="M14" s="634"/>
      <c r="N14" s="634"/>
      <c r="O14" s="634"/>
      <c r="P14" s="634"/>
    </row>
    <row r="15" spans="1:16">
      <c r="A15" s="637"/>
      <c r="B15" s="644" t="s">
        <v>41</v>
      </c>
      <c r="C15" s="650"/>
      <c r="D15" s="1014"/>
      <c r="E15" s="639"/>
      <c r="F15" s="639"/>
      <c r="G15" s="646"/>
      <c r="H15" s="648"/>
      <c r="I15" s="634"/>
      <c r="J15" s="634"/>
      <c r="K15" s="634"/>
      <c r="L15" s="634"/>
      <c r="M15" s="634"/>
      <c r="N15" s="634"/>
      <c r="O15" s="634"/>
      <c r="P15" s="634"/>
    </row>
    <row r="16" spans="1:16">
      <c r="A16" s="637" t="s">
        <v>390</v>
      </c>
      <c r="B16" s="644" t="s">
        <v>391</v>
      </c>
      <c r="C16" s="650">
        <f>C131+C110+C63</f>
        <v>2407.42</v>
      </c>
      <c r="D16" s="1014">
        <f>D131+D110+D63</f>
        <v>0.30640000000000001</v>
      </c>
      <c r="E16" s="639"/>
      <c r="F16" s="639"/>
      <c r="G16" s="652">
        <f>C16/D16</f>
        <v>7857.1148825065275</v>
      </c>
      <c r="H16" s="629">
        <f>'2012 Баланс  '!B13</f>
        <v>2407.42</v>
      </c>
      <c r="I16" s="1009">
        <f>'2012 Баланс  '!B14</f>
        <v>0.30640000000000001</v>
      </c>
      <c r="J16" s="643">
        <f>C16-H16</f>
        <v>0</v>
      </c>
      <c r="K16" s="634"/>
      <c r="L16" s="634"/>
      <c r="M16" s="634"/>
      <c r="N16" s="634"/>
      <c r="O16" s="634"/>
      <c r="P16" s="634"/>
    </row>
    <row r="17" spans="1:16" ht="26.4">
      <c r="A17" s="653" t="s">
        <v>392</v>
      </c>
      <c r="B17" s="644" t="s">
        <v>393</v>
      </c>
      <c r="C17" s="650">
        <f>C19+C20</f>
        <v>31984.329000000002</v>
      </c>
      <c r="D17" s="1014">
        <f>D19+D20</f>
        <v>4.0700999999999992</v>
      </c>
      <c r="E17" s="639"/>
      <c r="F17" s="639"/>
      <c r="G17" s="634"/>
      <c r="H17" s="654">
        <v>33608.320999999996</v>
      </c>
      <c r="I17" s="642"/>
      <c r="J17" s="655"/>
      <c r="K17" s="655"/>
      <c r="L17" s="634"/>
      <c r="M17" s="634"/>
      <c r="N17" s="634"/>
      <c r="O17" s="634"/>
      <c r="P17" s="634"/>
    </row>
    <row r="18" spans="1:16">
      <c r="A18" s="637"/>
      <c r="B18" s="644" t="s">
        <v>189</v>
      </c>
      <c r="C18" s="650"/>
      <c r="D18" s="1014"/>
      <c r="E18" s="639"/>
      <c r="F18" s="639"/>
      <c r="G18" s="634"/>
      <c r="H18" s="633"/>
      <c r="I18" s="634"/>
      <c r="J18" s="634"/>
      <c r="K18" s="634"/>
      <c r="L18" s="634"/>
      <c r="M18" s="634"/>
      <c r="N18" s="634"/>
      <c r="O18" s="634"/>
      <c r="P18" s="634"/>
    </row>
    <row r="19" spans="1:16">
      <c r="A19" s="637" t="s">
        <v>394</v>
      </c>
      <c r="B19" s="644" t="s">
        <v>395</v>
      </c>
      <c r="C19" s="656">
        <f>C66+C113+C134</f>
        <v>9842.4599999999991</v>
      </c>
      <c r="D19" s="1014">
        <f>D66+D113+D134</f>
        <v>1.2510999999999999</v>
      </c>
      <c r="E19" s="639"/>
      <c r="F19" s="639"/>
      <c r="G19" s="634">
        <v>9927.9999999999982</v>
      </c>
      <c r="H19" s="633">
        <v>1.2890000000000001</v>
      </c>
      <c r="I19" s="634"/>
      <c r="J19" s="642"/>
      <c r="K19" s="634"/>
      <c r="L19" s="634"/>
      <c r="M19" s="634"/>
      <c r="N19" s="634"/>
      <c r="O19" s="634"/>
      <c r="P19" s="634"/>
    </row>
    <row r="20" spans="1:16">
      <c r="A20" s="637" t="s">
        <v>396</v>
      </c>
      <c r="B20" s="644" t="s">
        <v>397</v>
      </c>
      <c r="C20" s="650">
        <f>C22+C24+C26+C28</f>
        <v>22141.869000000002</v>
      </c>
      <c r="D20" s="1014">
        <f>D22+D24+D26+D28</f>
        <v>2.8189999999999995</v>
      </c>
      <c r="E20" s="639"/>
      <c r="F20" s="639"/>
      <c r="G20" s="634">
        <v>23680.321</v>
      </c>
      <c r="H20" s="649">
        <v>2.7603135126301153</v>
      </c>
      <c r="I20" s="634"/>
      <c r="J20" s="642"/>
      <c r="K20" s="634"/>
      <c r="L20" s="634"/>
      <c r="M20" s="634"/>
      <c r="N20" s="634"/>
      <c r="O20" s="634"/>
      <c r="P20" s="634"/>
    </row>
    <row r="21" spans="1:16" ht="11.25" customHeight="1">
      <c r="A21" s="637"/>
      <c r="B21" s="644" t="s">
        <v>189</v>
      </c>
      <c r="C21" s="650"/>
      <c r="D21" s="1014"/>
      <c r="E21" s="639"/>
      <c r="F21" s="639"/>
      <c r="G21" s="634"/>
      <c r="H21" s="633"/>
      <c r="I21" s="634"/>
      <c r="J21" s="634"/>
      <c r="K21" s="634"/>
      <c r="L21" s="634"/>
      <c r="M21" s="634"/>
      <c r="N21" s="634"/>
      <c r="O21" s="634"/>
      <c r="P21" s="634"/>
    </row>
    <row r="22" spans="1:16">
      <c r="A22" s="637" t="s">
        <v>399</v>
      </c>
      <c r="B22" s="657" t="s">
        <v>350</v>
      </c>
      <c r="C22" s="658">
        <f>C69+C116</f>
        <v>20123</v>
      </c>
      <c r="D22" s="1016">
        <f>D69+D116</f>
        <v>2.5499999999999998</v>
      </c>
      <c r="E22" s="639"/>
      <c r="F22" s="639"/>
      <c r="G22" s="634"/>
      <c r="H22" s="633"/>
      <c r="I22" s="634"/>
      <c r="J22" s="634"/>
      <c r="K22" s="634"/>
      <c r="L22" s="634"/>
      <c r="M22" s="634"/>
      <c r="N22" s="634"/>
      <c r="O22" s="634"/>
      <c r="P22" s="634"/>
    </row>
    <row r="23" spans="1:16" ht="26.4">
      <c r="A23" s="659" t="s">
        <v>400</v>
      </c>
      <c r="B23" s="644" t="s">
        <v>398</v>
      </c>
      <c r="C23" s="650"/>
      <c r="D23" s="1014"/>
      <c r="E23" s="639"/>
      <c r="F23" s="639"/>
      <c r="G23" s="634"/>
      <c r="H23" s="633"/>
      <c r="I23" s="634"/>
      <c r="J23" s="634"/>
      <c r="K23" s="634"/>
      <c r="L23" s="634"/>
      <c r="M23" s="634"/>
      <c r="N23" s="634"/>
      <c r="O23" s="634"/>
      <c r="P23" s="634"/>
    </row>
    <row r="24" spans="1:16">
      <c r="A24" s="637" t="s">
        <v>635</v>
      </c>
      <c r="B24" s="657" t="s">
        <v>636</v>
      </c>
      <c r="C24" s="658">
        <f>C71</f>
        <v>813.31100000000004</v>
      </c>
      <c r="D24" s="1016">
        <f>D71</f>
        <v>9.2999999999999999E-2</v>
      </c>
      <c r="E24" s="639"/>
      <c r="F24" s="639"/>
      <c r="G24" s="634"/>
      <c r="H24" s="633"/>
      <c r="I24" s="634"/>
      <c r="J24" s="634"/>
      <c r="K24" s="634"/>
      <c r="L24" s="634"/>
      <c r="M24" s="634"/>
      <c r="N24" s="634"/>
      <c r="O24" s="634"/>
      <c r="P24" s="634"/>
    </row>
    <row r="25" spans="1:16" ht="26.4">
      <c r="A25" s="659" t="s">
        <v>637</v>
      </c>
      <c r="B25" s="644" t="s">
        <v>398</v>
      </c>
      <c r="C25" s="650"/>
      <c r="D25" s="1014"/>
      <c r="E25" s="639"/>
      <c r="F25" s="639"/>
      <c r="G25" s="634"/>
      <c r="H25" s="633"/>
      <c r="I25" s="634"/>
      <c r="J25" s="634"/>
      <c r="K25" s="634"/>
      <c r="L25" s="634"/>
      <c r="M25" s="634"/>
      <c r="N25" s="634"/>
      <c r="O25" s="634"/>
      <c r="P25" s="634"/>
    </row>
    <row r="26" spans="1:16">
      <c r="A26" s="660" t="s">
        <v>638</v>
      </c>
      <c r="B26" s="657" t="s">
        <v>639</v>
      </c>
      <c r="C26" s="661">
        <f>C73</f>
        <v>674</v>
      </c>
      <c r="D26" s="1017">
        <f>D73</f>
        <v>0.10199999999999999</v>
      </c>
      <c r="E26" s="639"/>
      <c r="F26" s="639"/>
      <c r="G26" s="634"/>
      <c r="H26" s="633"/>
      <c r="I26" s="634"/>
      <c r="J26" s="634"/>
      <c r="K26" s="634"/>
      <c r="L26" s="634"/>
      <c r="M26" s="634"/>
      <c r="N26" s="634"/>
      <c r="O26" s="634"/>
      <c r="P26" s="634"/>
    </row>
    <row r="27" spans="1:16" ht="26.4">
      <c r="A27" s="659" t="s">
        <v>640</v>
      </c>
      <c r="B27" s="644" t="s">
        <v>401</v>
      </c>
      <c r="C27" s="650"/>
      <c r="D27" s="1014"/>
      <c r="E27" s="639"/>
      <c r="F27" s="639"/>
      <c r="G27" s="634"/>
      <c r="H27" s="633"/>
      <c r="I27" s="634"/>
      <c r="J27" s="634"/>
      <c r="K27" s="634"/>
      <c r="L27" s="634"/>
      <c r="M27" s="634"/>
      <c r="N27" s="634"/>
      <c r="O27" s="634"/>
      <c r="P27" s="634"/>
    </row>
    <row r="28" spans="1:16">
      <c r="A28" s="660" t="s">
        <v>641</v>
      </c>
      <c r="B28" s="657" t="s">
        <v>642</v>
      </c>
      <c r="C28" s="661">
        <f>C137</f>
        <v>531.55799999999999</v>
      </c>
      <c r="D28" s="1017">
        <f>D137</f>
        <v>7.3999999999999996E-2</v>
      </c>
      <c r="E28" s="639"/>
      <c r="F28" s="639"/>
      <c r="G28" s="634"/>
      <c r="H28" s="633"/>
      <c r="I28" s="634"/>
      <c r="J28" s="634"/>
      <c r="K28" s="634"/>
      <c r="L28" s="634"/>
      <c r="M28" s="634"/>
      <c r="N28" s="634"/>
      <c r="O28" s="634"/>
      <c r="P28" s="634"/>
    </row>
    <row r="29" spans="1:16" ht="26.4">
      <c r="A29" s="659" t="s">
        <v>643</v>
      </c>
      <c r="B29" s="644" t="s">
        <v>644</v>
      </c>
      <c r="C29" s="650"/>
      <c r="D29" s="1014"/>
      <c r="E29" s="639"/>
      <c r="F29" s="639"/>
      <c r="G29" s="634"/>
      <c r="H29" s="633"/>
      <c r="I29" s="634"/>
      <c r="J29" s="634"/>
      <c r="K29" s="634"/>
      <c r="L29" s="634"/>
      <c r="M29" s="634"/>
      <c r="N29" s="634"/>
      <c r="O29" s="634"/>
      <c r="P29" s="634"/>
    </row>
    <row r="30" spans="1:16">
      <c r="A30" s="662"/>
      <c r="B30" s="644" t="s">
        <v>41</v>
      </c>
      <c r="C30" s="650"/>
      <c r="D30" s="1014"/>
      <c r="E30" s="639"/>
      <c r="F30" s="639"/>
      <c r="G30" s="634"/>
      <c r="H30" s="633"/>
      <c r="I30" s="634"/>
      <c r="J30" s="634"/>
      <c r="K30" s="634"/>
      <c r="L30" s="634"/>
      <c r="M30" s="634"/>
      <c r="N30" s="634"/>
      <c r="O30" s="634"/>
      <c r="P30" s="634"/>
    </row>
    <row r="31" spans="1:16">
      <c r="A31" s="663" t="s">
        <v>402</v>
      </c>
      <c r="B31" s="644" t="s">
        <v>403</v>
      </c>
      <c r="C31" s="650"/>
      <c r="D31" s="1014"/>
      <c r="E31" s="639"/>
      <c r="F31" s="639"/>
      <c r="G31" s="634"/>
      <c r="H31" s="633"/>
      <c r="I31" s="634"/>
      <c r="J31" s="634"/>
      <c r="K31" s="634"/>
      <c r="L31" s="634"/>
      <c r="M31" s="634"/>
      <c r="N31" s="634"/>
      <c r="O31" s="634"/>
      <c r="P31" s="634"/>
    </row>
    <row r="32" spans="1:16">
      <c r="A32" s="637"/>
      <c r="B32" s="644" t="s">
        <v>384</v>
      </c>
      <c r="C32" s="650"/>
      <c r="D32" s="1014"/>
      <c r="E32" s="639"/>
      <c r="F32" s="639"/>
      <c r="G32" s="634"/>
      <c r="H32" s="633"/>
      <c r="I32" s="634"/>
      <c r="J32" s="634"/>
      <c r="K32" s="634"/>
      <c r="L32" s="634"/>
      <c r="M32" s="634"/>
      <c r="N32" s="634"/>
      <c r="O32" s="634"/>
      <c r="P32" s="634"/>
    </row>
    <row r="33" spans="1:16">
      <c r="A33" s="637" t="s">
        <v>404</v>
      </c>
      <c r="B33" s="644" t="s">
        <v>405</v>
      </c>
      <c r="C33" s="650"/>
      <c r="D33" s="1014"/>
      <c r="E33" s="639"/>
      <c r="F33" s="639"/>
      <c r="G33" s="634"/>
      <c r="H33" s="633"/>
      <c r="I33" s="634"/>
      <c r="J33" s="634"/>
      <c r="K33" s="634"/>
      <c r="L33" s="634"/>
      <c r="M33" s="634"/>
      <c r="N33" s="634"/>
      <c r="O33" s="634"/>
      <c r="P33" s="634"/>
    </row>
    <row r="34" spans="1:16">
      <c r="A34" s="637" t="s">
        <v>406</v>
      </c>
      <c r="B34" s="644" t="s">
        <v>387</v>
      </c>
      <c r="C34" s="650"/>
      <c r="D34" s="1014"/>
      <c r="E34" s="639"/>
      <c r="F34" s="639"/>
      <c r="G34" s="634"/>
      <c r="H34" s="633"/>
      <c r="I34" s="634"/>
      <c r="J34" s="634"/>
      <c r="K34" s="634"/>
      <c r="L34" s="634"/>
      <c r="M34" s="634"/>
      <c r="N34" s="634"/>
      <c r="O34" s="634"/>
      <c r="P34" s="634"/>
    </row>
    <row r="35" spans="1:16">
      <c r="A35" s="637"/>
      <c r="B35" s="644" t="s">
        <v>384</v>
      </c>
      <c r="C35" s="650"/>
      <c r="D35" s="1014"/>
      <c r="E35" s="639"/>
      <c r="F35" s="639"/>
      <c r="G35" s="634"/>
      <c r="H35" s="633"/>
      <c r="I35" s="634"/>
      <c r="J35" s="634"/>
      <c r="K35" s="634"/>
      <c r="L35" s="634"/>
      <c r="M35" s="634"/>
      <c r="N35" s="634"/>
      <c r="O35" s="634"/>
      <c r="P35" s="634"/>
    </row>
    <row r="36" spans="1:16">
      <c r="A36" s="637" t="s">
        <v>407</v>
      </c>
      <c r="B36" s="644" t="s">
        <v>408</v>
      </c>
      <c r="C36" s="650"/>
      <c r="D36" s="1014"/>
      <c r="E36" s="639"/>
      <c r="F36" s="639"/>
      <c r="G36" s="634"/>
      <c r="H36" s="633"/>
      <c r="I36" s="634"/>
      <c r="J36" s="634"/>
      <c r="K36" s="634"/>
      <c r="L36" s="634"/>
      <c r="M36" s="634"/>
      <c r="N36" s="634"/>
      <c r="O36" s="634"/>
      <c r="P36" s="634"/>
    </row>
    <row r="37" spans="1:16">
      <c r="A37" s="637" t="s">
        <v>409</v>
      </c>
      <c r="B37" s="644" t="s">
        <v>410</v>
      </c>
      <c r="C37" s="650"/>
      <c r="D37" s="1014"/>
      <c r="E37" s="639"/>
      <c r="F37" s="639"/>
      <c r="G37" s="634"/>
      <c r="H37" s="633"/>
      <c r="I37" s="634"/>
      <c r="J37" s="634"/>
      <c r="K37" s="634"/>
      <c r="L37" s="634"/>
      <c r="M37" s="634"/>
      <c r="N37" s="634"/>
      <c r="O37" s="634"/>
      <c r="P37" s="634"/>
    </row>
    <row r="38" spans="1:16">
      <c r="A38" s="637"/>
      <c r="B38" s="644" t="s">
        <v>41</v>
      </c>
      <c r="C38" s="650"/>
      <c r="D38" s="1014"/>
      <c r="E38" s="639"/>
      <c r="F38" s="639"/>
      <c r="G38" s="634"/>
      <c r="H38" s="633"/>
      <c r="I38" s="634"/>
      <c r="J38" s="634"/>
      <c r="K38" s="634"/>
      <c r="L38" s="634"/>
      <c r="M38" s="634"/>
      <c r="N38" s="634"/>
      <c r="O38" s="634"/>
      <c r="P38" s="634"/>
    </row>
    <row r="39" spans="1:16">
      <c r="A39" s="637" t="s">
        <v>411</v>
      </c>
      <c r="B39" s="644" t="s">
        <v>412</v>
      </c>
      <c r="C39" s="650"/>
      <c r="D39" s="1014"/>
      <c r="E39" s="639"/>
      <c r="F39" s="639"/>
      <c r="G39" s="634"/>
      <c r="H39" s="633"/>
      <c r="I39" s="634"/>
      <c r="J39" s="634"/>
      <c r="K39" s="634"/>
      <c r="L39" s="634"/>
      <c r="M39" s="634"/>
      <c r="N39" s="634"/>
      <c r="O39" s="634"/>
      <c r="P39" s="634"/>
    </row>
    <row r="40" spans="1:16">
      <c r="A40" s="637" t="s">
        <v>413</v>
      </c>
      <c r="B40" s="644" t="s">
        <v>414</v>
      </c>
      <c r="C40" s="650"/>
      <c r="D40" s="1014"/>
      <c r="E40" s="639"/>
      <c r="F40" s="639"/>
      <c r="G40" s="634"/>
      <c r="H40" s="633"/>
      <c r="I40" s="634"/>
      <c r="J40" s="634"/>
      <c r="K40" s="634"/>
      <c r="L40" s="634"/>
      <c r="M40" s="634"/>
      <c r="N40" s="634"/>
      <c r="O40" s="634"/>
      <c r="P40" s="634"/>
    </row>
    <row r="41" spans="1:16">
      <c r="A41" s="637"/>
      <c r="B41" s="644" t="s">
        <v>189</v>
      </c>
      <c r="C41" s="650"/>
      <c r="D41" s="1014"/>
      <c r="E41" s="639"/>
      <c r="F41" s="639"/>
      <c r="G41" s="634"/>
      <c r="H41" s="633"/>
      <c r="I41" s="634"/>
      <c r="J41" s="634"/>
      <c r="K41" s="634"/>
      <c r="L41" s="634"/>
      <c r="M41" s="634"/>
      <c r="N41" s="634"/>
      <c r="O41" s="634"/>
      <c r="P41" s="634"/>
    </row>
    <row r="42" spans="1:16">
      <c r="A42" s="637" t="s">
        <v>415</v>
      </c>
      <c r="B42" s="644" t="s">
        <v>395</v>
      </c>
      <c r="C42" s="650"/>
      <c r="D42" s="1014"/>
      <c r="E42" s="639"/>
      <c r="F42" s="639"/>
      <c r="G42" s="634"/>
      <c r="H42" s="633"/>
      <c r="I42" s="634"/>
      <c r="J42" s="634"/>
      <c r="K42" s="634"/>
      <c r="L42" s="634"/>
      <c r="M42" s="634"/>
      <c r="N42" s="634"/>
      <c r="O42" s="634"/>
      <c r="P42" s="634"/>
    </row>
    <row r="43" spans="1:16">
      <c r="A43" s="637" t="s">
        <v>416</v>
      </c>
      <c r="B43" s="644" t="s">
        <v>397</v>
      </c>
      <c r="C43" s="650"/>
      <c r="D43" s="1014"/>
      <c r="E43" s="639"/>
      <c r="F43" s="639"/>
      <c r="G43" s="634"/>
      <c r="H43" s="633"/>
      <c r="I43" s="634"/>
      <c r="J43" s="634"/>
      <c r="K43" s="634"/>
      <c r="L43" s="634"/>
      <c r="M43" s="634"/>
      <c r="N43" s="634"/>
      <c r="O43" s="634"/>
      <c r="P43" s="634"/>
    </row>
    <row r="44" spans="1:16">
      <c r="A44" s="637"/>
      <c r="B44" s="644" t="s">
        <v>189</v>
      </c>
      <c r="C44" s="650"/>
      <c r="D44" s="1014"/>
      <c r="E44" s="639"/>
      <c r="F44" s="639"/>
      <c r="G44" s="634"/>
      <c r="H44" s="633"/>
      <c r="I44" s="634"/>
      <c r="J44" s="634"/>
      <c r="K44" s="634"/>
      <c r="L44" s="634"/>
      <c r="M44" s="634"/>
      <c r="N44" s="634"/>
      <c r="O44" s="634"/>
      <c r="P44" s="634"/>
    </row>
    <row r="45" spans="1:16">
      <c r="A45" s="637" t="s">
        <v>417</v>
      </c>
      <c r="B45" s="644" t="s">
        <v>408</v>
      </c>
      <c r="C45" s="650"/>
      <c r="D45" s="1014"/>
      <c r="E45" s="639"/>
      <c r="F45" s="639"/>
      <c r="G45" s="634"/>
      <c r="H45" s="633"/>
      <c r="I45" s="634"/>
      <c r="J45" s="634"/>
      <c r="K45" s="634"/>
      <c r="L45" s="634"/>
      <c r="M45" s="634"/>
      <c r="N45" s="634"/>
      <c r="O45" s="634"/>
      <c r="P45" s="634"/>
    </row>
    <row r="46" spans="1:16" ht="26.4">
      <c r="A46" s="653" t="s">
        <v>418</v>
      </c>
      <c r="B46" s="644" t="s">
        <v>419</v>
      </c>
      <c r="C46" s="650"/>
      <c r="D46" s="1014"/>
      <c r="E46" s="639"/>
      <c r="F46" s="639"/>
      <c r="G46" s="634"/>
      <c r="H46" s="633"/>
      <c r="I46" s="634"/>
      <c r="J46" s="634"/>
      <c r="K46" s="634"/>
      <c r="L46" s="634"/>
      <c r="M46" s="634"/>
      <c r="N46" s="634"/>
      <c r="O46" s="634"/>
      <c r="P46" s="634"/>
    </row>
    <row r="47" spans="1:16">
      <c r="A47" s="663" t="s">
        <v>420</v>
      </c>
      <c r="B47" s="664" t="s">
        <v>410</v>
      </c>
      <c r="C47" s="665"/>
      <c r="D47" s="1018"/>
      <c r="E47" s="666"/>
      <c r="F47" s="666"/>
      <c r="G47" s="634"/>
      <c r="H47" s="633"/>
      <c r="I47" s="634"/>
      <c r="J47" s="634"/>
      <c r="K47" s="634"/>
      <c r="L47" s="634"/>
      <c r="M47" s="634"/>
      <c r="N47" s="634"/>
      <c r="O47" s="634"/>
      <c r="P47" s="634"/>
    </row>
    <row r="48" spans="1:16" ht="26.4">
      <c r="A48" s="653" t="s">
        <v>421</v>
      </c>
      <c r="B48" s="644" t="s">
        <v>422</v>
      </c>
      <c r="C48" s="650"/>
      <c r="D48" s="1014"/>
      <c r="E48" s="639"/>
      <c r="F48" s="639"/>
      <c r="G48" s="634"/>
      <c r="H48" s="633"/>
      <c r="I48" s="634"/>
      <c r="J48" s="634"/>
      <c r="K48" s="634"/>
      <c r="L48" s="634"/>
      <c r="M48" s="634"/>
      <c r="N48" s="634"/>
      <c r="O48" s="634"/>
      <c r="P48" s="634"/>
    </row>
    <row r="49" spans="1:16">
      <c r="A49" s="637"/>
      <c r="B49" s="644" t="s">
        <v>41</v>
      </c>
      <c r="C49" s="650"/>
      <c r="D49" s="1014"/>
      <c r="E49" s="639"/>
      <c r="F49" s="639"/>
      <c r="G49" s="634"/>
      <c r="H49" s="633"/>
      <c r="I49" s="634"/>
      <c r="J49" s="634"/>
      <c r="K49" s="634"/>
      <c r="L49" s="634"/>
      <c r="M49" s="634"/>
      <c r="N49" s="634"/>
      <c r="O49" s="634"/>
      <c r="P49" s="634"/>
    </row>
    <row r="50" spans="1:16">
      <c r="A50" s="637" t="s">
        <v>423</v>
      </c>
      <c r="B50" s="644" t="s">
        <v>424</v>
      </c>
      <c r="C50" s="650"/>
      <c r="D50" s="1014"/>
      <c r="E50" s="639"/>
      <c r="F50" s="639" t="s">
        <v>645</v>
      </c>
      <c r="G50" s="634"/>
      <c r="H50" s="633"/>
      <c r="I50" s="634"/>
      <c r="J50" s="634"/>
      <c r="K50" s="634"/>
      <c r="L50" s="634"/>
      <c r="M50" s="634"/>
      <c r="N50" s="634"/>
      <c r="O50" s="634"/>
      <c r="P50" s="634"/>
    </row>
    <row r="51" spans="1:16">
      <c r="A51" s="637" t="s">
        <v>425</v>
      </c>
      <c r="B51" s="667" t="s">
        <v>426</v>
      </c>
      <c r="C51" s="650"/>
      <c r="D51" s="1014"/>
      <c r="E51" s="639"/>
      <c r="F51" s="639" t="s">
        <v>645</v>
      </c>
      <c r="G51" s="634"/>
      <c r="H51" s="633"/>
      <c r="I51" s="634"/>
      <c r="J51" s="634"/>
      <c r="K51" s="634"/>
      <c r="L51" s="634"/>
      <c r="M51" s="634"/>
      <c r="N51" s="634"/>
      <c r="O51" s="634"/>
      <c r="P51" s="634"/>
    </row>
    <row r="52" spans="1:16">
      <c r="A52" s="637" t="s">
        <v>427</v>
      </c>
      <c r="B52" s="667" t="s">
        <v>428</v>
      </c>
      <c r="C52" s="650"/>
      <c r="D52" s="1014"/>
      <c r="E52" s="639"/>
      <c r="F52" s="639" t="s">
        <v>645</v>
      </c>
      <c r="G52" s="634"/>
      <c r="H52" s="633"/>
      <c r="I52" s="634"/>
      <c r="J52" s="634"/>
      <c r="K52" s="634"/>
      <c r="L52" s="634"/>
      <c r="M52" s="634"/>
      <c r="N52" s="634"/>
      <c r="O52" s="634"/>
      <c r="P52" s="634"/>
    </row>
    <row r="53" spans="1:16">
      <c r="A53" s="637" t="s">
        <v>429</v>
      </c>
      <c r="B53" s="667" t="s">
        <v>430</v>
      </c>
      <c r="C53" s="650"/>
      <c r="D53" s="1014"/>
      <c r="E53" s="639"/>
      <c r="F53" s="639" t="s">
        <v>645</v>
      </c>
      <c r="G53" s="634"/>
      <c r="H53" s="633"/>
      <c r="I53" s="634"/>
      <c r="J53" s="634"/>
      <c r="K53" s="634"/>
      <c r="L53" s="634"/>
      <c r="M53" s="634"/>
      <c r="N53" s="634"/>
      <c r="O53" s="634"/>
      <c r="P53" s="634"/>
    </row>
    <row r="54" spans="1:16">
      <c r="A54" s="637" t="s">
        <v>431</v>
      </c>
      <c r="B54" s="667" t="s">
        <v>432</v>
      </c>
      <c r="C54" s="650"/>
      <c r="D54" s="1014"/>
      <c r="E54" s="639"/>
      <c r="F54" s="639" t="s">
        <v>645</v>
      </c>
      <c r="G54" s="634"/>
      <c r="H54" s="633"/>
      <c r="I54" s="634"/>
      <c r="J54" s="634"/>
      <c r="K54" s="634"/>
      <c r="L54" s="634"/>
      <c r="M54" s="634"/>
      <c r="N54" s="634"/>
      <c r="O54" s="634"/>
      <c r="P54" s="634"/>
    </row>
    <row r="55" spans="1:16" ht="26.4">
      <c r="A55" s="637" t="s">
        <v>433</v>
      </c>
      <c r="B55" s="644" t="s">
        <v>434</v>
      </c>
      <c r="C55" s="650">
        <f>C58</f>
        <v>33929.534</v>
      </c>
      <c r="D55" s="1014">
        <f>D58</f>
        <v>4.3114999999999997</v>
      </c>
      <c r="E55" s="639"/>
      <c r="F55" s="639"/>
      <c r="G55" s="634"/>
      <c r="H55" s="633"/>
      <c r="I55" s="634"/>
      <c r="J55" s="634"/>
      <c r="K55" s="634"/>
      <c r="L55" s="634"/>
      <c r="M55" s="634"/>
      <c r="N55" s="634"/>
      <c r="O55" s="634"/>
      <c r="P55" s="634"/>
    </row>
    <row r="56" spans="1:16">
      <c r="A56" s="637"/>
      <c r="B56" s="644" t="s">
        <v>384</v>
      </c>
      <c r="C56" s="650"/>
      <c r="D56" s="1014"/>
      <c r="E56" s="639"/>
      <c r="F56" s="639"/>
      <c r="G56" s="634"/>
      <c r="H56" s="633"/>
      <c r="I56" s="634"/>
      <c r="J56" s="634"/>
      <c r="K56" s="634"/>
      <c r="L56" s="634"/>
      <c r="M56" s="634"/>
      <c r="N56" s="634"/>
      <c r="O56" s="634"/>
      <c r="P56" s="634"/>
    </row>
    <row r="57" spans="1:16">
      <c r="A57" s="637" t="s">
        <v>435</v>
      </c>
      <c r="B57" s="644" t="s">
        <v>405</v>
      </c>
      <c r="C57" s="668"/>
      <c r="D57" s="1014"/>
      <c r="E57" s="639"/>
      <c r="F57" s="639"/>
      <c r="G57" s="634"/>
      <c r="H57" s="633"/>
      <c r="I57" s="634"/>
      <c r="J57" s="634"/>
      <c r="K57" s="634"/>
      <c r="L57" s="634"/>
      <c r="M57" s="634"/>
      <c r="N57" s="634"/>
      <c r="O57" s="634"/>
      <c r="P57" s="634"/>
    </row>
    <row r="58" spans="1:16">
      <c r="A58" s="637" t="s">
        <v>436</v>
      </c>
      <c r="B58" s="644" t="s">
        <v>387</v>
      </c>
      <c r="C58" s="650">
        <f>C60</f>
        <v>33929.534</v>
      </c>
      <c r="D58" s="1014">
        <f>D60</f>
        <v>4.3114999999999997</v>
      </c>
      <c r="E58" s="639"/>
      <c r="F58" s="639"/>
      <c r="G58" s="634"/>
      <c r="H58" s="633"/>
      <c r="I58" s="634"/>
      <c r="J58" s="634"/>
      <c r="K58" s="634"/>
      <c r="L58" s="634"/>
      <c r="M58" s="634"/>
      <c r="N58" s="634"/>
      <c r="O58" s="634"/>
      <c r="P58" s="634"/>
    </row>
    <row r="59" spans="1:16">
      <c r="A59" s="637"/>
      <c r="B59" s="644" t="s">
        <v>384</v>
      </c>
      <c r="C59" s="650"/>
      <c r="D59" s="1014"/>
      <c r="E59" s="639"/>
      <c r="F59" s="639"/>
      <c r="G59" s="634"/>
      <c r="H59" s="633"/>
      <c r="I59" s="634"/>
      <c r="J59" s="634"/>
      <c r="K59" s="634"/>
      <c r="L59" s="634"/>
      <c r="M59" s="634"/>
      <c r="N59" s="634"/>
      <c r="O59" s="634"/>
      <c r="P59" s="634"/>
    </row>
    <row r="60" spans="1:16">
      <c r="A60" s="637" t="s">
        <v>437</v>
      </c>
      <c r="B60" s="644" t="s">
        <v>324</v>
      </c>
      <c r="C60" s="650">
        <f>C64+C63+C78</f>
        <v>33929.534</v>
      </c>
      <c r="D60" s="1014">
        <f>D64+D63+D78</f>
        <v>4.3114999999999997</v>
      </c>
      <c r="E60" s="639"/>
      <c r="F60" s="639"/>
      <c r="G60" s="634"/>
      <c r="H60" s="633"/>
      <c r="I60" s="634"/>
      <c r="J60" s="634"/>
      <c r="K60" s="634"/>
      <c r="L60" s="634"/>
      <c r="M60" s="634"/>
      <c r="N60" s="634"/>
      <c r="O60" s="634"/>
      <c r="P60" s="634"/>
    </row>
    <row r="61" spans="1:16">
      <c r="A61" s="637" t="s">
        <v>438</v>
      </c>
      <c r="B61" s="644" t="s">
        <v>410</v>
      </c>
      <c r="C61" s="650"/>
      <c r="D61" s="1014"/>
      <c r="E61" s="639"/>
      <c r="F61" s="639"/>
      <c r="G61" s="634"/>
      <c r="H61" s="633"/>
      <c r="I61" s="634"/>
      <c r="J61" s="651"/>
      <c r="K61" s="634"/>
      <c r="L61" s="634"/>
      <c r="M61" s="634"/>
      <c r="N61" s="634"/>
      <c r="O61" s="634"/>
      <c r="P61" s="634"/>
    </row>
    <row r="62" spans="1:16">
      <c r="A62" s="637"/>
      <c r="B62" s="644" t="s">
        <v>41</v>
      </c>
      <c r="C62" s="650"/>
      <c r="D62" s="1014"/>
      <c r="E62" s="639"/>
      <c r="F62" s="639"/>
      <c r="G62" s="634"/>
      <c r="H62" s="633"/>
      <c r="I62" s="634"/>
      <c r="J62" s="651">
        <f>951/24727.66</f>
        <v>3.8458956488402057E-2</v>
      </c>
      <c r="K62" s="634"/>
      <c r="L62" s="634"/>
      <c r="M62" s="634"/>
      <c r="N62" s="634"/>
      <c r="O62" s="634"/>
      <c r="P62" s="634"/>
    </row>
    <row r="63" spans="1:16">
      <c r="A63" s="637" t="s">
        <v>439</v>
      </c>
      <c r="B63" s="644" t="s">
        <v>412</v>
      </c>
      <c r="C63" s="656">
        <f>ROUND((3.69/100*(H1-C80)),3)</f>
        <v>1252</v>
      </c>
      <c r="D63" s="1019">
        <f>ROUND((3.69/100*(H2-D80)),5)</f>
        <v>0.15909000000000001</v>
      </c>
      <c r="E63" s="639"/>
      <c r="F63" s="639"/>
      <c r="G63" s="642">
        <f>C63/D63</f>
        <v>7869.7592557671751</v>
      </c>
      <c r="H63" s="651">
        <f>C63/C55</f>
        <v>3.6900005758994513E-2</v>
      </c>
      <c r="I63" s="651" t="s">
        <v>187</v>
      </c>
      <c r="J63" s="651">
        <f>D63/D60</f>
        <v>3.6898991070393142E-2</v>
      </c>
      <c r="K63" s="634"/>
      <c r="L63" s="634"/>
      <c r="M63" s="634"/>
      <c r="N63" s="634"/>
      <c r="O63" s="634"/>
      <c r="P63" s="634"/>
    </row>
    <row r="64" spans="1:16">
      <c r="A64" s="637" t="s">
        <v>440</v>
      </c>
      <c r="B64" s="644" t="s">
        <v>414</v>
      </c>
      <c r="C64" s="650">
        <f>C66+C67</f>
        <v>26190.951000000001</v>
      </c>
      <c r="D64" s="1014">
        <f>D66+D67</f>
        <v>3.3082999999999996</v>
      </c>
      <c r="E64" s="639"/>
      <c r="F64" s="639"/>
      <c r="G64" s="669">
        <v>27257.311000000002</v>
      </c>
      <c r="H64" s="670">
        <f>C64/D64</f>
        <v>7916.7400175316643</v>
      </c>
      <c r="I64" s="651" t="s">
        <v>353</v>
      </c>
      <c r="J64" s="634"/>
      <c r="K64" s="634"/>
      <c r="L64" s="634"/>
      <c r="M64" s="634"/>
      <c r="N64" s="634"/>
      <c r="O64" s="634"/>
      <c r="P64" s="634"/>
    </row>
    <row r="65" spans="1:16">
      <c r="A65" s="637"/>
      <c r="B65" s="644" t="s">
        <v>189</v>
      </c>
      <c r="C65" s="671"/>
      <c r="D65" s="1020"/>
      <c r="E65" s="639"/>
      <c r="F65" s="639"/>
      <c r="G65" s="649">
        <v>3.2419999999999995</v>
      </c>
      <c r="H65" s="633"/>
      <c r="I65" s="649"/>
      <c r="J65" s="672"/>
      <c r="K65" s="634"/>
      <c r="L65" s="634"/>
      <c r="M65" s="634"/>
      <c r="N65" s="634"/>
      <c r="O65" s="634"/>
      <c r="P65" s="634"/>
    </row>
    <row r="66" spans="1:16">
      <c r="A66" s="637" t="s">
        <v>441</v>
      </c>
      <c r="B66" s="644" t="s">
        <v>395</v>
      </c>
      <c r="C66" s="650">
        <f>'2012 Баланс  '!C17</f>
        <v>4940.6400000000003</v>
      </c>
      <c r="D66" s="1014">
        <f>'2012 Баланс  '!C18</f>
        <v>0.60329999999999995</v>
      </c>
      <c r="E66" s="639"/>
      <c r="F66" s="639"/>
      <c r="G66" s="634"/>
      <c r="H66" s="633"/>
      <c r="I66" s="673"/>
      <c r="J66" s="674"/>
      <c r="K66" s="634"/>
      <c r="L66" s="634"/>
      <c r="M66" s="634"/>
      <c r="N66" s="634"/>
      <c r="O66" s="634"/>
      <c r="P66" s="634"/>
    </row>
    <row r="67" spans="1:16">
      <c r="A67" s="637" t="s">
        <v>442</v>
      </c>
      <c r="B67" s="644" t="s">
        <v>397</v>
      </c>
      <c r="C67" s="650">
        <f>C69+C71+C73</f>
        <v>21250.311000000002</v>
      </c>
      <c r="D67" s="1014">
        <f>D69+D71+D73</f>
        <v>2.7049999999999996</v>
      </c>
      <c r="E67" s="639"/>
      <c r="F67" s="639"/>
      <c r="G67" s="634"/>
      <c r="H67" s="670">
        <f>C67/D67</f>
        <v>7855.9375231053618</v>
      </c>
      <c r="I67" s="651" t="s">
        <v>353</v>
      </c>
      <c r="J67" s="675"/>
      <c r="K67" s="634"/>
      <c r="L67" s="634"/>
      <c r="M67" s="634"/>
      <c r="N67" s="634"/>
      <c r="O67" s="634"/>
      <c r="P67" s="634"/>
    </row>
    <row r="68" spans="1:16">
      <c r="A68" s="637"/>
      <c r="B68" s="644" t="s">
        <v>189</v>
      </c>
      <c r="C68" s="650"/>
      <c r="D68" s="1014"/>
      <c r="E68" s="639"/>
      <c r="F68" s="639"/>
      <c r="G68" s="634"/>
      <c r="H68" s="633"/>
      <c r="I68" s="634"/>
      <c r="J68" s="675"/>
      <c r="K68" s="634"/>
      <c r="L68" s="634"/>
      <c r="M68" s="634"/>
      <c r="N68" s="634"/>
      <c r="O68" s="634"/>
      <c r="P68" s="634"/>
    </row>
    <row r="69" spans="1:16">
      <c r="A69" s="637" t="s">
        <v>444</v>
      </c>
      <c r="B69" s="657" t="s">
        <v>350</v>
      </c>
      <c r="C69" s="661">
        <f>'Прилож.1-2012г.'!C35</f>
        <v>19763</v>
      </c>
      <c r="D69" s="1017">
        <f>'Прилож.1-2012г.'!D35</f>
        <v>2.5099999999999998</v>
      </c>
      <c r="E69" s="639"/>
      <c r="F69" s="639"/>
      <c r="G69" s="634"/>
      <c r="H69" s="670">
        <f>C69/D69</f>
        <v>7873.7051792828688</v>
      </c>
      <c r="I69" s="651" t="s">
        <v>353</v>
      </c>
      <c r="J69" s="674"/>
      <c r="K69" s="634"/>
      <c r="L69" s="634"/>
      <c r="M69" s="634"/>
      <c r="N69" s="634"/>
      <c r="O69" s="634"/>
      <c r="P69" s="634"/>
    </row>
    <row r="70" spans="1:16" ht="26.4">
      <c r="A70" s="653" t="s">
        <v>445</v>
      </c>
      <c r="B70" s="644" t="s">
        <v>443</v>
      </c>
      <c r="C70" s="650"/>
      <c r="D70" s="1014"/>
      <c r="E70" s="639"/>
      <c r="F70" s="639"/>
      <c r="G70" s="634"/>
      <c r="H70" s="633"/>
      <c r="I70" s="634"/>
      <c r="J70" s="675"/>
      <c r="K70" s="634"/>
      <c r="L70" s="634"/>
      <c r="M70" s="634"/>
      <c r="N70" s="634"/>
      <c r="O70" s="634"/>
      <c r="P70" s="634"/>
    </row>
    <row r="71" spans="1:16">
      <c r="A71" s="637" t="s">
        <v>646</v>
      </c>
      <c r="B71" s="657" t="s">
        <v>647</v>
      </c>
      <c r="C71" s="661">
        <f>'Прилож.1-2012г.'!C33</f>
        <v>813.31100000000004</v>
      </c>
      <c r="D71" s="1017">
        <f>'Прилож.1-2012г.'!D33</f>
        <v>9.2999999999999999E-2</v>
      </c>
      <c r="E71" s="639"/>
      <c r="F71" s="639"/>
      <c r="G71" s="634"/>
      <c r="H71" s="670">
        <f>C71/D71</f>
        <v>8745.2795698924729</v>
      </c>
      <c r="I71" s="651" t="s">
        <v>353</v>
      </c>
      <c r="J71" s="674"/>
      <c r="K71" s="634"/>
      <c r="L71" s="634"/>
      <c r="M71" s="634"/>
      <c r="N71" s="634"/>
      <c r="O71" s="634"/>
      <c r="P71" s="634"/>
    </row>
    <row r="72" spans="1:16" ht="26.4">
      <c r="A72" s="653" t="s">
        <v>648</v>
      </c>
      <c r="B72" s="644" t="s">
        <v>443</v>
      </c>
      <c r="C72" s="650"/>
      <c r="D72" s="1014"/>
      <c r="E72" s="639"/>
      <c r="F72" s="639"/>
      <c r="G72" s="634"/>
      <c r="H72" s="633"/>
      <c r="I72" s="634"/>
      <c r="J72" s="675"/>
      <c r="K72" s="634"/>
      <c r="L72" s="634"/>
      <c r="M72" s="634"/>
      <c r="N72" s="634"/>
      <c r="O72" s="634"/>
      <c r="P72" s="634"/>
    </row>
    <row r="73" spans="1:16">
      <c r="A73" s="637" t="s">
        <v>649</v>
      </c>
      <c r="B73" s="657" t="s">
        <v>639</v>
      </c>
      <c r="C73" s="661">
        <f>'Прилож.1-2012г.'!C45</f>
        <v>674</v>
      </c>
      <c r="D73" s="1017">
        <f>'Прилож.1-2012г.'!D45</f>
        <v>0.10199999999999999</v>
      </c>
      <c r="E73" s="639"/>
      <c r="F73" s="639"/>
      <c r="G73" s="634"/>
      <c r="H73" s="670">
        <f>C73/D73</f>
        <v>6607.8431372549021</v>
      </c>
      <c r="I73" s="651" t="s">
        <v>353</v>
      </c>
      <c r="J73" s="674"/>
      <c r="K73" s="634"/>
      <c r="L73" s="634"/>
      <c r="M73" s="634"/>
      <c r="N73" s="634"/>
      <c r="O73" s="634"/>
      <c r="P73" s="634"/>
    </row>
    <row r="74" spans="1:16" ht="26.4">
      <c r="A74" s="653" t="s">
        <v>650</v>
      </c>
      <c r="B74" s="644" t="s">
        <v>446</v>
      </c>
      <c r="C74" s="650"/>
      <c r="D74" s="1014"/>
      <c r="E74" s="639"/>
      <c r="F74" s="639"/>
      <c r="G74" s="634"/>
      <c r="H74" s="633"/>
      <c r="I74" s="634"/>
      <c r="J74" s="634"/>
      <c r="K74" s="634"/>
      <c r="L74" s="634"/>
      <c r="M74" s="634"/>
      <c r="N74" s="634"/>
      <c r="O74" s="634"/>
      <c r="P74" s="634"/>
    </row>
    <row r="75" spans="1:16">
      <c r="A75" s="637"/>
      <c r="B75" s="644" t="s">
        <v>41</v>
      </c>
      <c r="C75" s="650"/>
      <c r="D75" s="1014"/>
      <c r="E75" s="639"/>
      <c r="F75" s="639"/>
      <c r="G75" s="634"/>
      <c r="H75" s="633"/>
      <c r="I75" s="634"/>
      <c r="J75" s="634"/>
      <c r="K75" s="634"/>
      <c r="L75" s="634"/>
      <c r="M75" s="634"/>
      <c r="N75" s="634"/>
      <c r="O75" s="634"/>
      <c r="P75" s="634"/>
    </row>
    <row r="76" spans="1:16">
      <c r="A76" s="637" t="s">
        <v>447</v>
      </c>
      <c r="B76" s="644" t="s">
        <v>448</v>
      </c>
      <c r="C76" s="650">
        <f>C78</f>
        <v>6486.5829999999987</v>
      </c>
      <c r="D76" s="1014">
        <f>D78</f>
        <v>0.84410999999999992</v>
      </c>
      <c r="E76" s="639"/>
      <c r="F76" s="639" t="s">
        <v>645</v>
      </c>
      <c r="G76" s="634"/>
      <c r="H76" s="633"/>
      <c r="I76" s="634"/>
      <c r="J76" s="634"/>
      <c r="K76" s="634"/>
      <c r="L76" s="634"/>
      <c r="M76" s="634"/>
      <c r="N76" s="634"/>
      <c r="O76" s="634"/>
      <c r="P76" s="634"/>
    </row>
    <row r="77" spans="1:16">
      <c r="A77" s="637" t="s">
        <v>449</v>
      </c>
      <c r="B77" s="667" t="s">
        <v>428</v>
      </c>
      <c r="C77" s="650"/>
      <c r="D77" s="1014"/>
      <c r="E77" s="639"/>
      <c r="F77" s="639" t="s">
        <v>645</v>
      </c>
      <c r="G77" s="634"/>
      <c r="H77" s="633"/>
      <c r="I77" s="634"/>
      <c r="J77" s="634"/>
      <c r="K77" s="634"/>
      <c r="L77" s="634"/>
      <c r="M77" s="634"/>
      <c r="N77" s="634"/>
      <c r="O77" s="634"/>
      <c r="P77" s="634"/>
    </row>
    <row r="78" spans="1:16">
      <c r="A78" s="637" t="s">
        <v>450</v>
      </c>
      <c r="B78" s="667" t="s">
        <v>430</v>
      </c>
      <c r="C78" s="1003">
        <f>C102-C100</f>
        <v>6486.5829999999987</v>
      </c>
      <c r="D78" s="1015">
        <f>D102-D100</f>
        <v>0.84410999999999992</v>
      </c>
      <c r="E78" s="639"/>
      <c r="F78" s="639" t="s">
        <v>645</v>
      </c>
      <c r="G78" s="634"/>
      <c r="H78" s="676"/>
      <c r="I78" s="649"/>
      <c r="J78" s="634"/>
      <c r="K78" s="634"/>
      <c r="L78" s="634"/>
      <c r="M78" s="634"/>
      <c r="N78" s="634"/>
      <c r="O78" s="634"/>
      <c r="P78" s="634"/>
    </row>
    <row r="79" spans="1:16">
      <c r="A79" s="637" t="s">
        <v>451</v>
      </c>
      <c r="B79" s="667" t="s">
        <v>432</v>
      </c>
      <c r="C79" s="650"/>
      <c r="D79" s="1014"/>
      <c r="E79" s="639"/>
      <c r="F79" s="639" t="s">
        <v>645</v>
      </c>
      <c r="G79" s="634"/>
      <c r="H79" s="633"/>
      <c r="I79" s="634"/>
      <c r="J79" s="634"/>
      <c r="K79" s="634"/>
      <c r="L79" s="634"/>
      <c r="M79" s="634"/>
      <c r="N79" s="634"/>
      <c r="O79" s="634"/>
      <c r="P79" s="634"/>
    </row>
    <row r="80" spans="1:16">
      <c r="A80" s="637" t="s">
        <v>452</v>
      </c>
      <c r="B80" s="644" t="s">
        <v>453</v>
      </c>
      <c r="C80" s="1003">
        <f>C83+C82</f>
        <v>462.21499999999997</v>
      </c>
      <c r="D80" s="1015">
        <f>D83+D82</f>
        <v>6.5000000000000002E-2</v>
      </c>
      <c r="E80" s="639"/>
      <c r="F80" s="639"/>
      <c r="G80" s="634"/>
      <c r="H80" s="633"/>
      <c r="I80" s="634"/>
      <c r="J80" s="634"/>
      <c r="K80" s="634"/>
      <c r="L80" s="634"/>
      <c r="M80" s="634"/>
      <c r="N80" s="634"/>
      <c r="O80" s="634"/>
      <c r="P80" s="634"/>
    </row>
    <row r="81" spans="1:16">
      <c r="A81" s="637"/>
      <c r="B81" s="644" t="s">
        <v>384</v>
      </c>
      <c r="C81" s="1003"/>
      <c r="D81" s="1015"/>
      <c r="E81" s="639"/>
      <c r="F81" s="639"/>
      <c r="G81" s="634"/>
      <c r="H81" s="633"/>
      <c r="I81" s="634"/>
      <c r="J81" s="634"/>
      <c r="K81" s="634"/>
      <c r="L81" s="634"/>
      <c r="M81" s="634"/>
      <c r="N81" s="634"/>
      <c r="O81" s="634"/>
      <c r="P81" s="634"/>
    </row>
    <row r="82" spans="1:16">
      <c r="A82" s="637" t="s">
        <v>454</v>
      </c>
      <c r="B82" s="644" t="s">
        <v>405</v>
      </c>
      <c r="C82" s="1003"/>
      <c r="D82" s="1015"/>
      <c r="E82" s="639"/>
      <c r="F82" s="639"/>
      <c r="G82" s="634"/>
      <c r="H82" s="633"/>
      <c r="I82" s="634"/>
      <c r="J82" s="634"/>
      <c r="K82" s="634"/>
      <c r="L82" s="634"/>
      <c r="M82" s="634"/>
      <c r="N82" s="634"/>
      <c r="O82" s="634"/>
      <c r="P82" s="634"/>
    </row>
    <row r="83" spans="1:16">
      <c r="A83" s="637" t="s">
        <v>455</v>
      </c>
      <c r="B83" s="644" t="s">
        <v>387</v>
      </c>
      <c r="C83" s="1003">
        <f>C85</f>
        <v>462.21499999999997</v>
      </c>
      <c r="D83" s="1015">
        <f>D85</f>
        <v>6.5000000000000002E-2</v>
      </c>
      <c r="E83" s="639"/>
      <c r="F83" s="639"/>
      <c r="G83" s="634"/>
      <c r="H83" s="633"/>
      <c r="I83" s="634"/>
      <c r="J83" s="634"/>
      <c r="K83" s="634"/>
      <c r="L83" s="634"/>
      <c r="M83" s="634"/>
      <c r="N83" s="634"/>
      <c r="O83" s="634"/>
      <c r="P83" s="634"/>
    </row>
    <row r="84" spans="1:16">
      <c r="A84" s="637"/>
      <c r="B84" s="644" t="s">
        <v>456</v>
      </c>
      <c r="C84" s="1003"/>
      <c r="D84" s="1015"/>
      <c r="E84" s="639"/>
      <c r="F84" s="639"/>
      <c r="G84" s="634"/>
      <c r="H84" s="633"/>
      <c r="I84" s="634"/>
      <c r="J84" s="634"/>
      <c r="K84" s="634"/>
      <c r="L84" s="634"/>
      <c r="M84" s="634"/>
      <c r="N84" s="634"/>
      <c r="O84" s="634"/>
      <c r="P84" s="634"/>
    </row>
    <row r="85" spans="1:16">
      <c r="A85" s="637" t="s">
        <v>457</v>
      </c>
      <c r="B85" s="1002" t="s">
        <v>983</v>
      </c>
      <c r="C85" s="1005">
        <v>462.21499999999997</v>
      </c>
      <c r="D85" s="1021">
        <v>6.5000000000000002E-2</v>
      </c>
      <c r="E85" s="639"/>
      <c r="F85" s="639"/>
      <c r="G85" s="634"/>
      <c r="H85" s="1004">
        <f>C85/D85</f>
        <v>7110.9999999999991</v>
      </c>
      <c r="I85" s="634"/>
      <c r="J85" s="634"/>
      <c r="K85" s="634"/>
      <c r="L85" s="634"/>
      <c r="M85" s="634"/>
      <c r="N85" s="634"/>
      <c r="O85" s="634"/>
      <c r="P85" s="634"/>
    </row>
    <row r="86" spans="1:16">
      <c r="A86" s="637" t="s">
        <v>458</v>
      </c>
      <c r="B86" s="644" t="s">
        <v>410</v>
      </c>
      <c r="C86" s="650"/>
      <c r="D86" s="1014"/>
      <c r="E86" s="639"/>
      <c r="F86" s="639"/>
      <c r="G86" s="634"/>
      <c r="H86" s="633"/>
      <c r="I86" s="634"/>
      <c r="J86" s="634"/>
      <c r="K86" s="634"/>
      <c r="L86" s="634"/>
      <c r="M86" s="634"/>
      <c r="N86" s="634"/>
      <c r="O86" s="634"/>
      <c r="P86" s="634"/>
    </row>
    <row r="87" spans="1:16">
      <c r="A87" s="637"/>
      <c r="B87" s="644" t="s">
        <v>41</v>
      </c>
      <c r="C87" s="650"/>
      <c r="D87" s="1014"/>
      <c r="E87" s="639"/>
      <c r="F87" s="639"/>
      <c r="G87" s="634"/>
      <c r="H87" s="633"/>
      <c r="I87" s="634"/>
      <c r="J87" s="634"/>
      <c r="K87" s="634"/>
      <c r="L87" s="634"/>
      <c r="M87" s="634"/>
      <c r="N87" s="634"/>
      <c r="O87" s="634"/>
      <c r="P87" s="634"/>
    </row>
    <row r="88" spans="1:16">
      <c r="A88" s="637" t="s">
        <v>459</v>
      </c>
      <c r="B88" s="644" t="s">
        <v>412</v>
      </c>
      <c r="C88" s="650"/>
      <c r="D88" s="1014"/>
      <c r="E88" s="639"/>
      <c r="F88" s="639"/>
      <c r="G88" s="634"/>
      <c r="H88" s="633"/>
      <c r="I88" s="634"/>
      <c r="J88" s="634"/>
      <c r="K88" s="634"/>
      <c r="L88" s="634"/>
      <c r="M88" s="634"/>
      <c r="N88" s="634"/>
      <c r="O88" s="634"/>
      <c r="P88" s="634"/>
    </row>
    <row r="89" spans="1:16">
      <c r="A89" s="637" t="s">
        <v>460</v>
      </c>
      <c r="B89" s="644" t="s">
        <v>414</v>
      </c>
      <c r="C89" s="650"/>
      <c r="D89" s="1014"/>
      <c r="E89" s="639"/>
      <c r="F89" s="639"/>
      <c r="G89" s="634"/>
      <c r="H89" s="633"/>
      <c r="I89" s="634"/>
      <c r="J89" s="634"/>
      <c r="K89" s="634"/>
      <c r="L89" s="634"/>
      <c r="M89" s="634"/>
      <c r="N89" s="634"/>
      <c r="O89" s="634"/>
      <c r="P89" s="634"/>
    </row>
    <row r="90" spans="1:16">
      <c r="A90" s="637"/>
      <c r="B90" s="644" t="s">
        <v>189</v>
      </c>
      <c r="C90" s="650"/>
      <c r="D90" s="1014"/>
      <c r="E90" s="639"/>
      <c r="F90" s="639"/>
      <c r="G90" s="634"/>
      <c r="H90" s="633"/>
      <c r="I90" s="634"/>
      <c r="J90" s="634"/>
      <c r="K90" s="634"/>
      <c r="L90" s="634"/>
      <c r="M90" s="634"/>
      <c r="N90" s="634"/>
      <c r="O90" s="634"/>
      <c r="P90" s="634"/>
    </row>
    <row r="91" spans="1:16">
      <c r="A91" s="637" t="s">
        <v>461</v>
      </c>
      <c r="B91" s="644" t="s">
        <v>395</v>
      </c>
      <c r="C91" s="650"/>
      <c r="D91" s="1014"/>
      <c r="E91" s="639"/>
      <c r="F91" s="639"/>
      <c r="G91" s="634"/>
      <c r="H91" s="633"/>
      <c r="I91" s="634"/>
      <c r="J91" s="634"/>
      <c r="K91" s="634"/>
      <c r="L91" s="634"/>
      <c r="M91" s="634"/>
      <c r="N91" s="634"/>
      <c r="O91" s="634"/>
      <c r="P91" s="634"/>
    </row>
    <row r="92" spans="1:16">
      <c r="A92" s="637" t="s">
        <v>462</v>
      </c>
      <c r="B92" s="644" t="s">
        <v>397</v>
      </c>
      <c r="C92" s="650"/>
      <c r="D92" s="1014"/>
      <c r="E92" s="639"/>
      <c r="F92" s="639"/>
      <c r="G92" s="634"/>
      <c r="H92" s="633"/>
      <c r="I92" s="634"/>
      <c r="J92" s="634"/>
      <c r="K92" s="634"/>
      <c r="L92" s="634"/>
      <c r="M92" s="634"/>
      <c r="N92" s="634"/>
      <c r="O92" s="634"/>
      <c r="P92" s="634"/>
    </row>
    <row r="93" spans="1:16">
      <c r="A93" s="637"/>
      <c r="B93" s="644" t="s">
        <v>189</v>
      </c>
      <c r="C93" s="650"/>
      <c r="D93" s="1014"/>
      <c r="E93" s="639"/>
      <c r="F93" s="639"/>
      <c r="G93" s="634"/>
      <c r="H93" s="633"/>
      <c r="I93" s="634"/>
      <c r="J93" s="634"/>
      <c r="K93" s="634"/>
      <c r="L93" s="634"/>
      <c r="M93" s="634"/>
      <c r="N93" s="634"/>
      <c r="O93" s="634"/>
      <c r="P93" s="634"/>
    </row>
    <row r="94" spans="1:16">
      <c r="A94" s="637" t="s">
        <v>463</v>
      </c>
      <c r="B94" s="644" t="s">
        <v>408</v>
      </c>
      <c r="C94" s="650"/>
      <c r="D94" s="1014"/>
      <c r="E94" s="639"/>
      <c r="F94" s="639"/>
      <c r="G94" s="634"/>
      <c r="H94" s="633"/>
      <c r="I94" s="634"/>
      <c r="J94" s="634"/>
      <c r="K94" s="634"/>
      <c r="L94" s="634"/>
      <c r="M94" s="634"/>
      <c r="N94" s="634"/>
      <c r="O94" s="634"/>
      <c r="P94" s="634"/>
    </row>
    <row r="95" spans="1:16" ht="26.4">
      <c r="A95" s="653" t="s">
        <v>464</v>
      </c>
      <c r="B95" s="644" t="s">
        <v>465</v>
      </c>
      <c r="C95" s="650"/>
      <c r="D95" s="1014"/>
      <c r="E95" s="639"/>
      <c r="F95" s="639"/>
      <c r="G95" s="634"/>
      <c r="H95" s="633"/>
      <c r="I95" s="634"/>
      <c r="J95" s="634"/>
      <c r="K95" s="634"/>
      <c r="L95" s="634"/>
      <c r="M95" s="634"/>
      <c r="N95" s="634"/>
      <c r="O95" s="634"/>
      <c r="P95" s="634"/>
    </row>
    <row r="96" spans="1:16">
      <c r="A96" s="637" t="s">
        <v>466</v>
      </c>
      <c r="B96" s="644" t="s">
        <v>410</v>
      </c>
      <c r="C96" s="650"/>
      <c r="D96" s="1014"/>
      <c r="E96" s="639"/>
      <c r="F96" s="639"/>
      <c r="G96" s="634"/>
      <c r="H96" s="633"/>
      <c r="I96" s="634"/>
      <c r="J96" s="634"/>
      <c r="K96" s="634"/>
      <c r="L96" s="634"/>
      <c r="M96" s="634"/>
      <c r="N96" s="634"/>
      <c r="O96" s="634"/>
      <c r="P96" s="634"/>
    </row>
    <row r="97" spans="1:16" ht="26.4">
      <c r="A97" s="653" t="s">
        <v>467</v>
      </c>
      <c r="B97" s="644" t="s">
        <v>468</v>
      </c>
      <c r="C97" s="650"/>
      <c r="D97" s="1014"/>
      <c r="E97" s="639"/>
      <c r="F97" s="639"/>
      <c r="G97" s="634"/>
      <c r="H97" s="633"/>
      <c r="I97" s="634"/>
      <c r="J97" s="634"/>
      <c r="K97" s="634"/>
      <c r="L97" s="634"/>
      <c r="M97" s="634"/>
      <c r="N97" s="634"/>
      <c r="O97" s="634"/>
      <c r="P97" s="634"/>
    </row>
    <row r="98" spans="1:16">
      <c r="A98" s="637"/>
      <c r="B98" s="644" t="s">
        <v>41</v>
      </c>
      <c r="C98" s="650"/>
      <c r="D98" s="1014"/>
      <c r="E98" s="639"/>
      <c r="F98" s="639"/>
      <c r="G98" s="634"/>
      <c r="H98" s="633"/>
      <c r="I98" s="634"/>
      <c r="J98" s="634"/>
      <c r="K98" s="634"/>
      <c r="L98" s="634"/>
      <c r="M98" s="634"/>
      <c r="N98" s="634"/>
      <c r="O98" s="634"/>
      <c r="P98" s="634"/>
    </row>
    <row r="99" spans="1:16">
      <c r="A99" s="637" t="s">
        <v>469</v>
      </c>
      <c r="B99" s="644" t="s">
        <v>470</v>
      </c>
      <c r="C99" s="650"/>
      <c r="D99" s="1014"/>
      <c r="E99" s="639"/>
      <c r="F99" s="639" t="s">
        <v>645</v>
      </c>
      <c r="G99" s="634"/>
      <c r="H99" s="633"/>
      <c r="I99" s="634"/>
      <c r="J99" s="634"/>
      <c r="K99" s="634"/>
      <c r="L99" s="634"/>
      <c r="M99" s="634"/>
      <c r="N99" s="634"/>
      <c r="O99" s="634"/>
      <c r="P99" s="634"/>
    </row>
    <row r="100" spans="1:16">
      <c r="A100" s="637" t="s">
        <v>471</v>
      </c>
      <c r="B100" s="667" t="s">
        <v>430</v>
      </c>
      <c r="C100" s="1003">
        <f>C85</f>
        <v>462.21499999999997</v>
      </c>
      <c r="D100" s="1015">
        <f>D85</f>
        <v>6.5000000000000002E-2</v>
      </c>
      <c r="E100" s="639"/>
      <c r="F100" s="639" t="s">
        <v>645</v>
      </c>
      <c r="G100" s="634"/>
      <c r="H100" s="1004">
        <f>C100/D100</f>
        <v>7110.9999999999991</v>
      </c>
      <c r="I100" s="634"/>
      <c r="J100" s="634"/>
      <c r="K100" s="634"/>
      <c r="L100" s="634"/>
      <c r="M100" s="634"/>
      <c r="N100" s="634"/>
      <c r="O100" s="634"/>
      <c r="P100" s="634"/>
    </row>
    <row r="101" spans="1:16">
      <c r="A101" s="637" t="s">
        <v>472</v>
      </c>
      <c r="B101" s="667" t="s">
        <v>432</v>
      </c>
      <c r="C101" s="650"/>
      <c r="D101" s="1014"/>
      <c r="E101" s="639"/>
      <c r="F101" s="639" t="s">
        <v>645</v>
      </c>
      <c r="G101" s="634"/>
      <c r="H101" s="633"/>
      <c r="I101" s="634"/>
      <c r="J101" s="634"/>
      <c r="K101" s="634"/>
      <c r="L101" s="634"/>
      <c r="M101" s="634"/>
      <c r="N101" s="634"/>
      <c r="O101" s="634"/>
      <c r="P101" s="634"/>
    </row>
    <row r="102" spans="1:16">
      <c r="A102" s="637" t="s">
        <v>473</v>
      </c>
      <c r="B102" s="644" t="s">
        <v>474</v>
      </c>
      <c r="C102" s="650">
        <f>C111+C110+C122</f>
        <v>6948.7979999999989</v>
      </c>
      <c r="D102" s="1014">
        <f>D111+D110+D122</f>
        <v>0.90910999999999997</v>
      </c>
      <c r="E102" s="639"/>
      <c r="F102" s="639"/>
      <c r="G102" s="634" t="s">
        <v>253</v>
      </c>
      <c r="H102" s="654">
        <f>C100+C78</f>
        <v>6948.7979999999989</v>
      </c>
      <c r="I102" s="1011">
        <f>D100+D78</f>
        <v>0.90910999999999986</v>
      </c>
      <c r="J102" s="634"/>
      <c r="K102" s="634"/>
      <c r="L102" s="634"/>
      <c r="M102" s="634"/>
      <c r="N102" s="634"/>
      <c r="O102" s="634"/>
      <c r="P102" s="634"/>
    </row>
    <row r="103" spans="1:16">
      <c r="A103" s="637"/>
      <c r="B103" s="644" t="s">
        <v>384</v>
      </c>
      <c r="C103" s="650"/>
      <c r="D103" s="1014"/>
      <c r="E103" s="639"/>
      <c r="F103" s="639"/>
      <c r="G103" s="634"/>
      <c r="H103" s="633"/>
      <c r="I103" s="634"/>
      <c r="J103" s="634"/>
      <c r="K103" s="634"/>
      <c r="L103" s="634"/>
      <c r="M103" s="634"/>
      <c r="N103" s="634"/>
      <c r="O103" s="634"/>
      <c r="P103" s="634"/>
    </row>
    <row r="104" spans="1:16">
      <c r="A104" s="637" t="s">
        <v>475</v>
      </c>
      <c r="B104" s="644" t="s">
        <v>405</v>
      </c>
      <c r="C104" s="650"/>
      <c r="D104" s="1014"/>
      <c r="E104" s="639"/>
      <c r="F104" s="639"/>
      <c r="G104" s="634"/>
      <c r="H104" s="633"/>
      <c r="I104" s="634"/>
      <c r="J104" s="634"/>
      <c r="K104" s="634"/>
      <c r="L104" s="634"/>
      <c r="M104" s="634"/>
      <c r="N104" s="634"/>
      <c r="O104" s="634"/>
      <c r="P104" s="634"/>
    </row>
    <row r="105" spans="1:16">
      <c r="A105" s="637" t="s">
        <v>476</v>
      </c>
      <c r="B105" s="644" t="s">
        <v>387</v>
      </c>
      <c r="C105" s="650"/>
      <c r="D105" s="1014"/>
      <c r="E105" s="639"/>
      <c r="F105" s="639"/>
      <c r="G105" s="634"/>
      <c r="H105" s="633"/>
      <c r="I105" s="634"/>
      <c r="J105" s="634"/>
      <c r="K105" s="634"/>
      <c r="L105" s="634"/>
      <c r="M105" s="634"/>
      <c r="N105" s="634"/>
      <c r="O105" s="634"/>
      <c r="P105" s="634"/>
    </row>
    <row r="106" spans="1:16">
      <c r="A106" s="637"/>
      <c r="B106" s="644" t="s">
        <v>384</v>
      </c>
      <c r="C106" s="650"/>
      <c r="D106" s="1014"/>
      <c r="E106" s="639"/>
      <c r="F106" s="639"/>
      <c r="G106" s="634"/>
      <c r="H106" s="633"/>
      <c r="I106" s="634"/>
      <c r="J106" s="634"/>
      <c r="K106" s="634"/>
      <c r="L106" s="634"/>
      <c r="M106" s="634"/>
      <c r="N106" s="634"/>
      <c r="O106" s="634"/>
      <c r="P106" s="634"/>
    </row>
    <row r="107" spans="1:16">
      <c r="A107" s="637" t="s">
        <v>477</v>
      </c>
      <c r="B107" s="644" t="s">
        <v>408</v>
      </c>
      <c r="C107" s="650"/>
      <c r="D107" s="1014"/>
      <c r="E107" s="639"/>
      <c r="F107" s="639"/>
      <c r="G107" s="634"/>
      <c r="H107" s="633"/>
      <c r="I107" s="634"/>
      <c r="J107" s="634"/>
      <c r="K107" s="634"/>
      <c r="L107" s="634"/>
      <c r="M107" s="634"/>
      <c r="N107" s="634"/>
      <c r="O107" s="634"/>
      <c r="P107" s="634"/>
    </row>
    <row r="108" spans="1:16">
      <c r="A108" s="637" t="s">
        <v>478</v>
      </c>
      <c r="B108" s="644" t="s">
        <v>410</v>
      </c>
      <c r="C108" s="650"/>
      <c r="D108" s="1014"/>
      <c r="E108" s="639"/>
      <c r="F108" s="639"/>
      <c r="G108" s="634"/>
      <c r="H108" s="633"/>
      <c r="I108" s="634"/>
      <c r="J108" s="634"/>
      <c r="K108" s="634"/>
      <c r="L108" s="634"/>
      <c r="M108" s="634"/>
      <c r="N108" s="634"/>
      <c r="O108" s="634"/>
      <c r="P108" s="634"/>
    </row>
    <row r="109" spans="1:16" hidden="1">
      <c r="A109" s="637"/>
      <c r="B109" s="644" t="s">
        <v>41</v>
      </c>
      <c r="C109" s="650"/>
      <c r="D109" s="1014"/>
      <c r="E109" s="639"/>
      <c r="F109" s="639"/>
      <c r="G109" s="634"/>
      <c r="H109" s="633"/>
      <c r="I109" s="634"/>
      <c r="J109" s="634"/>
      <c r="K109" s="634"/>
      <c r="L109" s="634"/>
      <c r="M109" s="634"/>
      <c r="N109" s="634"/>
      <c r="O109" s="634"/>
      <c r="P109" s="634"/>
    </row>
    <row r="110" spans="1:16">
      <c r="A110" s="637" t="s">
        <v>479</v>
      </c>
      <c r="B110" s="644" t="s">
        <v>412</v>
      </c>
      <c r="C110" s="1005">
        <f>H16-C63-C131</f>
        <v>1097.1560000000002</v>
      </c>
      <c r="D110" s="1021">
        <f>I16-D63-D131</f>
        <v>0.13838</v>
      </c>
      <c r="E110" s="639"/>
      <c r="F110" s="639"/>
      <c r="G110" s="634"/>
      <c r="H110" s="651">
        <f>C110/C102</f>
        <v>0.15789147993653008</v>
      </c>
      <c r="I110" s="651" t="s">
        <v>187</v>
      </c>
      <c r="J110" s="651">
        <f>D110/D102</f>
        <v>0.15221480348912675</v>
      </c>
      <c r="K110" s="634"/>
      <c r="L110" s="634"/>
      <c r="M110" s="634"/>
      <c r="N110" s="634"/>
      <c r="O110" s="634"/>
      <c r="P110" s="634"/>
    </row>
    <row r="111" spans="1:16">
      <c r="A111" s="637" t="s">
        <v>480</v>
      </c>
      <c r="B111" s="644" t="s">
        <v>414</v>
      </c>
      <c r="C111" s="650">
        <f>C114+C113</f>
        <v>5019.2999999999993</v>
      </c>
      <c r="D111" s="1014">
        <f>D114+D113</f>
        <v>0.6431</v>
      </c>
      <c r="E111" s="639"/>
      <c r="F111" s="639"/>
      <c r="G111" s="669">
        <v>5772.3</v>
      </c>
      <c r="H111" s="670">
        <f>C111/D111</f>
        <v>7804.8515005442378</v>
      </c>
      <c r="I111" s="651" t="s">
        <v>353</v>
      </c>
      <c r="J111" s="649"/>
      <c r="K111" s="649"/>
      <c r="L111" s="634"/>
      <c r="M111" s="634"/>
      <c r="N111" s="634"/>
      <c r="O111" s="634"/>
      <c r="P111" s="634"/>
    </row>
    <row r="112" spans="1:16">
      <c r="A112" s="637"/>
      <c r="B112" s="644" t="s">
        <v>189</v>
      </c>
      <c r="C112" s="650"/>
      <c r="D112" s="1014"/>
      <c r="E112" s="639"/>
      <c r="F112" s="639"/>
      <c r="G112" s="649">
        <v>0.72200000000000009</v>
      </c>
      <c r="H112" s="633"/>
      <c r="I112" s="634"/>
      <c r="J112" s="634"/>
      <c r="K112" s="634"/>
      <c r="L112" s="634"/>
      <c r="M112" s="634"/>
      <c r="N112" s="634"/>
      <c r="O112" s="634"/>
      <c r="P112" s="634"/>
    </row>
    <row r="113" spans="1:16">
      <c r="A113" s="637" t="s">
        <v>481</v>
      </c>
      <c r="B113" s="644" t="s">
        <v>395</v>
      </c>
      <c r="C113" s="656">
        <f>'2012 Баланс  '!E17</f>
        <v>4659.2999999999993</v>
      </c>
      <c r="D113" s="1019">
        <f>'2012 Баланс  '!E18</f>
        <v>0.60309999999999997</v>
      </c>
      <c r="E113" s="639"/>
      <c r="F113" s="639"/>
      <c r="G113" s="634"/>
      <c r="H113" s="633"/>
      <c r="I113" s="634"/>
      <c r="J113" s="634"/>
      <c r="K113" s="634"/>
      <c r="L113" s="634"/>
      <c r="M113" s="634"/>
      <c r="N113" s="634"/>
      <c r="O113" s="634"/>
      <c r="P113" s="634"/>
    </row>
    <row r="114" spans="1:16">
      <c r="A114" s="637" t="s">
        <v>482</v>
      </c>
      <c r="B114" s="644" t="s">
        <v>397</v>
      </c>
      <c r="C114" s="656">
        <f>C116+C118</f>
        <v>360</v>
      </c>
      <c r="D114" s="1019">
        <f>D116+D118</f>
        <v>0.04</v>
      </c>
      <c r="E114" s="639"/>
      <c r="F114" s="639"/>
      <c r="G114" s="634"/>
      <c r="H114" s="633"/>
      <c r="I114" s="634"/>
      <c r="J114" s="634"/>
      <c r="K114" s="634"/>
      <c r="L114" s="634"/>
      <c r="M114" s="634"/>
      <c r="N114" s="634"/>
      <c r="O114" s="634"/>
      <c r="P114" s="634"/>
    </row>
    <row r="115" spans="1:16">
      <c r="A115" s="637"/>
      <c r="B115" s="644" t="s">
        <v>189</v>
      </c>
      <c r="C115" s="650"/>
      <c r="D115" s="1014"/>
      <c r="E115" s="639"/>
      <c r="F115" s="639"/>
      <c r="G115" s="634"/>
      <c r="H115" s="677"/>
      <c r="I115" s="634"/>
      <c r="J115" s="634"/>
      <c r="K115" s="634"/>
      <c r="L115" s="634"/>
      <c r="M115" s="634"/>
      <c r="N115" s="634"/>
      <c r="O115" s="634"/>
      <c r="P115" s="634"/>
    </row>
    <row r="116" spans="1:16">
      <c r="A116" s="637" t="s">
        <v>651</v>
      </c>
      <c r="B116" s="657" t="s">
        <v>350</v>
      </c>
      <c r="C116" s="661">
        <f>'2012 Баланс  '!E30</f>
        <v>360</v>
      </c>
      <c r="D116" s="1017">
        <f>'2012 Баланс  '!E31</f>
        <v>0.04</v>
      </c>
      <c r="E116" s="678"/>
      <c r="F116" s="678"/>
      <c r="G116" s="634"/>
      <c r="H116" s="633"/>
      <c r="I116" s="634"/>
      <c r="J116" s="634"/>
      <c r="K116" s="634"/>
      <c r="L116" s="634"/>
      <c r="M116" s="634"/>
      <c r="N116" s="634"/>
      <c r="O116" s="634"/>
      <c r="P116" s="634"/>
    </row>
    <row r="117" spans="1:16" ht="26.4">
      <c r="A117" s="653" t="s">
        <v>652</v>
      </c>
      <c r="B117" s="644" t="s">
        <v>483</v>
      </c>
      <c r="C117" s="650"/>
      <c r="D117" s="1014"/>
      <c r="E117" s="639"/>
      <c r="F117" s="639"/>
      <c r="G117" s="634"/>
      <c r="H117" s="633"/>
      <c r="I117" s="634"/>
      <c r="J117" s="634"/>
      <c r="K117" s="634"/>
      <c r="L117" s="634"/>
      <c r="M117" s="634"/>
      <c r="N117" s="634"/>
      <c r="O117" s="634"/>
      <c r="P117" s="634"/>
    </row>
    <row r="118" spans="1:16">
      <c r="A118" s="637" t="s">
        <v>484</v>
      </c>
      <c r="B118" s="644" t="s">
        <v>410</v>
      </c>
      <c r="C118" s="650"/>
      <c r="D118" s="1014"/>
      <c r="E118" s="639"/>
      <c r="F118" s="639"/>
      <c r="G118" s="634"/>
      <c r="H118" s="679"/>
      <c r="I118" s="634"/>
      <c r="J118" s="634"/>
      <c r="K118" s="634"/>
      <c r="L118" s="634"/>
      <c r="M118" s="634"/>
      <c r="N118" s="634"/>
      <c r="O118" s="634"/>
      <c r="P118" s="634"/>
    </row>
    <row r="119" spans="1:16" ht="26.4">
      <c r="A119" s="653" t="s">
        <v>485</v>
      </c>
      <c r="B119" s="644" t="s">
        <v>486</v>
      </c>
      <c r="C119" s="650"/>
      <c r="D119" s="1014"/>
      <c r="E119" s="639"/>
      <c r="F119" s="639"/>
      <c r="G119" s="634"/>
      <c r="H119" s="633"/>
      <c r="I119" s="634"/>
      <c r="J119" s="634"/>
      <c r="K119" s="634"/>
      <c r="L119" s="634"/>
      <c r="M119" s="634"/>
      <c r="N119" s="634"/>
      <c r="O119" s="634"/>
      <c r="P119" s="634"/>
    </row>
    <row r="120" spans="1:16">
      <c r="A120" s="637"/>
      <c r="B120" s="644" t="s">
        <v>41</v>
      </c>
      <c r="C120" s="650"/>
      <c r="D120" s="1014"/>
      <c r="E120" s="639"/>
      <c r="F120" s="639"/>
      <c r="G120" s="634"/>
      <c r="H120" s="633"/>
      <c r="I120" s="634"/>
      <c r="J120" s="634"/>
      <c r="K120" s="634"/>
      <c r="L120" s="634"/>
      <c r="M120" s="634"/>
      <c r="N120" s="634"/>
      <c r="O120" s="634"/>
      <c r="P120" s="634"/>
    </row>
    <row r="121" spans="1:16">
      <c r="A121" s="637" t="s">
        <v>487</v>
      </c>
      <c r="B121" s="644" t="s">
        <v>488</v>
      </c>
      <c r="C121" s="650">
        <f>C122</f>
        <v>832.34199999999998</v>
      </c>
      <c r="D121" s="1014">
        <f>D122</f>
        <v>0.12762999999999999</v>
      </c>
      <c r="E121" s="639"/>
      <c r="F121" s="639" t="s">
        <v>645</v>
      </c>
      <c r="G121" s="634"/>
      <c r="H121" s="633"/>
      <c r="I121" s="634"/>
      <c r="J121" s="634"/>
      <c r="K121" s="634"/>
      <c r="L121" s="634"/>
      <c r="M121" s="634"/>
      <c r="N121" s="634"/>
      <c r="O121" s="634"/>
      <c r="P121" s="634"/>
    </row>
    <row r="122" spans="1:16">
      <c r="A122" s="637" t="s">
        <v>489</v>
      </c>
      <c r="B122" s="667" t="s">
        <v>432</v>
      </c>
      <c r="C122" s="650">
        <f>C123</f>
        <v>832.34199999999998</v>
      </c>
      <c r="D122" s="1014">
        <f>D123</f>
        <v>0.12762999999999999</v>
      </c>
      <c r="E122" s="639"/>
      <c r="F122" s="639" t="s">
        <v>645</v>
      </c>
      <c r="G122" s="634"/>
      <c r="H122" s="633"/>
      <c r="I122" s="634"/>
      <c r="J122" s="649"/>
      <c r="K122" s="649"/>
      <c r="L122" s="634"/>
      <c r="M122" s="634"/>
      <c r="N122" s="634"/>
      <c r="O122" s="634"/>
      <c r="P122" s="634"/>
    </row>
    <row r="123" spans="1:16">
      <c r="A123" s="637" t="s">
        <v>490</v>
      </c>
      <c r="B123" s="644" t="s">
        <v>491</v>
      </c>
      <c r="C123" s="650">
        <f>C132+C131</f>
        <v>832.34199999999998</v>
      </c>
      <c r="D123" s="1014">
        <f>D132+D131</f>
        <v>0.12762999999999999</v>
      </c>
      <c r="E123" s="639"/>
      <c r="F123" s="639"/>
      <c r="G123" s="634" t="s">
        <v>215</v>
      </c>
      <c r="H123" s="1011">
        <f>D102-D110-D111</f>
        <v>0.12762999999999991</v>
      </c>
      <c r="I123" s="634"/>
      <c r="J123" s="649"/>
      <c r="K123" s="649"/>
      <c r="L123" s="634"/>
      <c r="M123" s="634"/>
      <c r="N123" s="634"/>
      <c r="O123" s="634"/>
      <c r="P123" s="634"/>
    </row>
    <row r="124" spans="1:16">
      <c r="A124" s="637"/>
      <c r="B124" s="644" t="s">
        <v>384</v>
      </c>
      <c r="C124" s="650"/>
      <c r="D124" s="1014"/>
      <c r="E124" s="639"/>
      <c r="F124" s="639"/>
      <c r="G124" s="634"/>
      <c r="H124" s="633"/>
      <c r="I124" s="634"/>
      <c r="J124" s="634"/>
      <c r="K124" s="634"/>
      <c r="L124" s="634"/>
      <c r="M124" s="634"/>
      <c r="N124" s="634"/>
      <c r="O124" s="634"/>
      <c r="P124" s="634"/>
    </row>
    <row r="125" spans="1:16">
      <c r="A125" s="637" t="s">
        <v>492</v>
      </c>
      <c r="B125" s="644" t="s">
        <v>405</v>
      </c>
      <c r="C125" s="650"/>
      <c r="D125" s="1014"/>
      <c r="E125" s="639"/>
      <c r="F125" s="639"/>
      <c r="G125" s="634"/>
      <c r="H125" s="633"/>
      <c r="I125" s="634"/>
      <c r="J125" s="634"/>
      <c r="K125" s="634"/>
      <c r="L125" s="634"/>
      <c r="M125" s="634"/>
      <c r="N125" s="634"/>
      <c r="O125" s="634"/>
      <c r="P125" s="634"/>
    </row>
    <row r="126" spans="1:16">
      <c r="A126" s="637" t="s">
        <v>493</v>
      </c>
      <c r="B126" s="644" t="s">
        <v>387</v>
      </c>
      <c r="C126" s="650"/>
      <c r="D126" s="1014"/>
      <c r="E126" s="639"/>
      <c r="F126" s="639"/>
      <c r="G126" s="634"/>
      <c r="H126" s="633"/>
      <c r="I126" s="634"/>
      <c r="J126" s="634"/>
      <c r="K126" s="634"/>
      <c r="L126" s="634"/>
      <c r="M126" s="634"/>
      <c r="N126" s="634"/>
      <c r="O126" s="634"/>
      <c r="P126" s="634"/>
    </row>
    <row r="127" spans="1:16">
      <c r="A127" s="637"/>
      <c r="B127" s="644" t="s">
        <v>384</v>
      </c>
      <c r="C127" s="650"/>
      <c r="D127" s="1014"/>
      <c r="E127" s="639"/>
      <c r="F127" s="639"/>
      <c r="G127" s="634"/>
      <c r="H127" s="633"/>
      <c r="I127" s="634"/>
      <c r="J127" s="634"/>
      <c r="K127" s="634"/>
      <c r="L127" s="634"/>
      <c r="M127" s="634"/>
      <c r="N127" s="634"/>
      <c r="O127" s="634"/>
      <c r="P127" s="634"/>
    </row>
    <row r="128" spans="1:16">
      <c r="A128" s="637" t="s">
        <v>494</v>
      </c>
      <c r="B128" s="644" t="s">
        <v>408</v>
      </c>
      <c r="C128" s="650"/>
      <c r="D128" s="1014"/>
      <c r="E128" s="639"/>
      <c r="F128" s="639"/>
      <c r="G128" s="634"/>
      <c r="H128" s="633"/>
      <c r="I128" s="634"/>
      <c r="J128" s="634"/>
      <c r="K128" s="634"/>
      <c r="L128" s="634"/>
      <c r="M128" s="634"/>
      <c r="N128" s="634"/>
      <c r="O128" s="634"/>
      <c r="P128" s="634"/>
    </row>
    <row r="129" spans="1:16">
      <c r="A129" s="637" t="s">
        <v>495</v>
      </c>
      <c r="B129" s="644" t="s">
        <v>410</v>
      </c>
      <c r="C129" s="650"/>
      <c r="D129" s="1014"/>
      <c r="E129" s="639"/>
      <c r="F129" s="639"/>
      <c r="G129" s="634"/>
      <c r="H129" s="633"/>
      <c r="I129" s="634"/>
      <c r="J129" s="634"/>
      <c r="K129" s="634"/>
      <c r="L129" s="634"/>
      <c r="M129" s="634"/>
      <c r="N129" s="634"/>
      <c r="O129" s="634"/>
      <c r="P129" s="634"/>
    </row>
    <row r="130" spans="1:16">
      <c r="A130" s="637"/>
      <c r="B130" s="644" t="s">
        <v>41</v>
      </c>
      <c r="C130" s="650"/>
      <c r="D130" s="1014"/>
      <c r="E130" s="639"/>
      <c r="F130" s="639"/>
      <c r="G130" s="634"/>
      <c r="H130" s="633"/>
      <c r="I130" s="634"/>
      <c r="J130" s="634"/>
      <c r="K130" s="634"/>
      <c r="L130" s="634"/>
      <c r="M130" s="634"/>
      <c r="N130" s="634"/>
      <c r="O130" s="634"/>
      <c r="P130" s="634"/>
    </row>
    <row r="131" spans="1:16">
      <c r="A131" s="637" t="s">
        <v>496</v>
      </c>
      <c r="B131" s="644" t="s">
        <v>412</v>
      </c>
      <c r="C131" s="656">
        <f>ROUND((C132/(1-7/100)-C132),3)</f>
        <v>58.264000000000003</v>
      </c>
      <c r="D131" s="1019">
        <f>ROUND((D132/(1-7/100)-D132),5)</f>
        <v>8.9300000000000004E-3</v>
      </c>
      <c r="E131" s="639"/>
      <c r="F131" s="639"/>
      <c r="G131" s="634"/>
      <c r="H131" s="651">
        <f>C131/C123</f>
        <v>7.000007208575322E-2</v>
      </c>
      <c r="I131" s="651" t="s">
        <v>187</v>
      </c>
      <c r="J131" s="651">
        <f>D131/D123</f>
        <v>6.9967875891248144E-2</v>
      </c>
      <c r="K131" s="634"/>
      <c r="L131" s="634"/>
      <c r="M131" s="634"/>
      <c r="N131" s="634"/>
      <c r="O131" s="634"/>
      <c r="P131" s="634"/>
    </row>
    <row r="132" spans="1:16">
      <c r="A132" s="637" t="s">
        <v>497</v>
      </c>
      <c r="B132" s="644" t="s">
        <v>414</v>
      </c>
      <c r="C132" s="650">
        <f>C134+C135</f>
        <v>774.07799999999997</v>
      </c>
      <c r="D132" s="1014">
        <f>D134+D135</f>
        <v>0.1187</v>
      </c>
      <c r="E132" s="639"/>
      <c r="F132" s="639"/>
      <c r="G132" s="669">
        <v>578.70999999999947</v>
      </c>
      <c r="H132" s="670">
        <f>C132/D132</f>
        <v>6521.2973883740524</v>
      </c>
      <c r="I132" s="651" t="s">
        <v>353</v>
      </c>
      <c r="J132" s="634"/>
      <c r="K132" s="634"/>
      <c r="L132" s="634"/>
      <c r="M132" s="634"/>
      <c r="N132" s="634"/>
      <c r="O132" s="634"/>
      <c r="P132" s="634"/>
    </row>
    <row r="133" spans="1:16">
      <c r="A133" s="637"/>
      <c r="B133" s="644" t="s">
        <v>189</v>
      </c>
      <c r="C133" s="650"/>
      <c r="D133" s="1014"/>
      <c r="E133" s="639"/>
      <c r="F133" s="639"/>
      <c r="G133" s="649">
        <v>8.5313512630115815E-2</v>
      </c>
      <c r="H133" s="633"/>
      <c r="I133" s="634"/>
      <c r="J133" s="634"/>
      <c r="K133" s="634"/>
      <c r="L133" s="634"/>
      <c r="M133" s="634"/>
      <c r="N133" s="634"/>
      <c r="O133" s="634"/>
      <c r="P133" s="634"/>
    </row>
    <row r="134" spans="1:16">
      <c r="A134" s="637" t="s">
        <v>394</v>
      </c>
      <c r="B134" s="644" t="s">
        <v>395</v>
      </c>
      <c r="C134" s="656">
        <f>'2012 Баланс  '!F17</f>
        <v>242.52</v>
      </c>
      <c r="D134" s="1019">
        <f>'2012 Баланс  '!F18</f>
        <v>4.4699999999999997E-2</v>
      </c>
      <c r="E134" s="639"/>
      <c r="F134" s="639"/>
      <c r="G134" s="634"/>
      <c r="H134" s="633"/>
      <c r="I134" s="634"/>
      <c r="J134" s="634"/>
      <c r="K134" s="634"/>
      <c r="L134" s="634"/>
      <c r="M134" s="634"/>
      <c r="N134" s="634"/>
      <c r="O134" s="634"/>
      <c r="P134" s="634"/>
    </row>
    <row r="135" spans="1:16">
      <c r="A135" s="637" t="s">
        <v>396</v>
      </c>
      <c r="B135" s="644" t="s">
        <v>397</v>
      </c>
      <c r="C135" s="639">
        <f>SUM(C137+C139)</f>
        <v>531.55799999999999</v>
      </c>
      <c r="D135" s="1014">
        <f>SUM(D137+D139)</f>
        <v>7.3999999999999996E-2</v>
      </c>
      <c r="E135" s="639"/>
      <c r="F135" s="639"/>
      <c r="G135" s="634"/>
      <c r="H135" s="633"/>
      <c r="I135" s="634"/>
      <c r="J135" s="634"/>
      <c r="K135" s="634"/>
      <c r="L135" s="634"/>
      <c r="M135" s="634"/>
      <c r="N135" s="634"/>
      <c r="O135" s="634"/>
      <c r="P135" s="634"/>
    </row>
    <row r="136" spans="1:16">
      <c r="A136" s="637"/>
      <c r="B136" s="644" t="s">
        <v>189</v>
      </c>
      <c r="C136" s="639"/>
      <c r="D136" s="1014"/>
      <c r="E136" s="639"/>
      <c r="F136" s="639"/>
      <c r="G136" s="634"/>
      <c r="H136" s="633"/>
      <c r="I136" s="634"/>
      <c r="J136" s="634"/>
      <c r="K136" s="634"/>
      <c r="L136" s="634"/>
      <c r="M136" s="634"/>
      <c r="N136" s="634"/>
      <c r="O136" s="634"/>
      <c r="P136" s="634"/>
    </row>
    <row r="137" spans="1:16">
      <c r="A137" s="637" t="s">
        <v>498</v>
      </c>
      <c r="B137" s="657" t="s">
        <v>653</v>
      </c>
      <c r="C137" s="678">
        <f>'2012 Баланс  '!F30</f>
        <v>531.55799999999999</v>
      </c>
      <c r="D137" s="1017">
        <f>'2012 Баланс  '!F31</f>
        <v>7.3999999999999996E-2</v>
      </c>
      <c r="E137" s="678"/>
      <c r="F137" s="678"/>
      <c r="H137" s="670">
        <f>C137/D137</f>
        <v>7183.2162162162167</v>
      </c>
    </row>
    <row r="138" spans="1:16" ht="26.4">
      <c r="A138" s="653" t="s">
        <v>499</v>
      </c>
      <c r="B138" s="644" t="s">
        <v>500</v>
      </c>
      <c r="C138" s="639"/>
      <c r="D138" s="1014"/>
      <c r="E138" s="639"/>
      <c r="F138" s="639"/>
    </row>
    <row r="139" spans="1:16">
      <c r="A139" s="637" t="s">
        <v>501</v>
      </c>
      <c r="B139" s="644" t="s">
        <v>410</v>
      </c>
      <c r="C139" s="639"/>
      <c r="D139" s="1014"/>
      <c r="E139" s="639"/>
      <c r="F139" s="639"/>
    </row>
    <row r="140" spans="1:16" ht="26.4">
      <c r="A140" s="653" t="s">
        <v>502</v>
      </c>
      <c r="B140" s="644" t="s">
        <v>503</v>
      </c>
      <c r="C140" s="639"/>
      <c r="D140" s="1014"/>
      <c r="E140" s="639"/>
      <c r="F140" s="639"/>
    </row>
    <row r="141" spans="1:16">
      <c r="A141" s="637"/>
      <c r="B141" s="644" t="s">
        <v>41</v>
      </c>
      <c r="C141" s="639"/>
      <c r="D141" s="1014"/>
      <c r="E141" s="639"/>
      <c r="F141" s="639"/>
    </row>
    <row r="142" spans="1:16" ht="24" customHeight="1">
      <c r="A142" s="620"/>
      <c r="B142" s="620"/>
      <c r="C142" s="616"/>
      <c r="D142" s="1012"/>
      <c r="E142" s="616"/>
      <c r="F142" s="616"/>
    </row>
    <row r="143" spans="1:16" ht="23.25" customHeight="1">
      <c r="A143" s="614" t="s">
        <v>632</v>
      </c>
      <c r="B143" s="615"/>
      <c r="C143" s="616"/>
    </row>
    <row r="144" spans="1:16" ht="15" customHeight="1">
      <c r="A144" s="1049" t="s">
        <v>633</v>
      </c>
      <c r="B144" s="620"/>
      <c r="C144" s="616"/>
      <c r="D144" s="1950" t="s">
        <v>634</v>
      </c>
      <c r="E144" s="1950"/>
      <c r="F144" s="1950"/>
    </row>
    <row r="145" spans="1:6" ht="15" customHeight="1">
      <c r="A145" s="615"/>
      <c r="B145" s="620"/>
      <c r="C145" s="616"/>
      <c r="D145" s="1012"/>
      <c r="E145" s="616"/>
      <c r="F145" s="616"/>
    </row>
    <row r="146" spans="1:6">
      <c r="A146" s="620" t="s">
        <v>175</v>
      </c>
      <c r="B146" s="620"/>
      <c r="C146" s="616"/>
      <c r="D146" s="1012"/>
      <c r="E146" s="616"/>
      <c r="F146" s="616"/>
    </row>
    <row r="147" spans="1:6" ht="28.5" customHeight="1">
      <c r="A147" s="680" t="s">
        <v>654</v>
      </c>
      <c r="B147" s="620"/>
      <c r="C147" s="616"/>
      <c r="D147" s="1012"/>
      <c r="E147" s="616"/>
      <c r="F147" s="616"/>
    </row>
    <row r="148" spans="1:6" ht="11.1" customHeight="1">
      <c r="A148" s="680"/>
      <c r="B148" s="620"/>
      <c r="C148" s="616"/>
      <c r="D148" s="1012"/>
      <c r="E148" s="616"/>
      <c r="F148" s="616"/>
    </row>
    <row r="149" spans="1:6" ht="21" customHeight="1">
      <c r="A149" s="680" t="s">
        <v>655</v>
      </c>
      <c r="B149" s="620"/>
      <c r="C149" s="616"/>
      <c r="D149" s="1012"/>
      <c r="E149" s="616"/>
      <c r="F149" s="616"/>
    </row>
    <row r="150" spans="1:6" ht="11.1" customHeight="1">
      <c r="A150" s="680"/>
      <c r="B150" s="620"/>
      <c r="C150" s="616"/>
      <c r="D150" s="1012"/>
      <c r="E150" s="616"/>
      <c r="F150" s="616"/>
    </row>
    <row r="151" spans="1:6" ht="20.25" customHeight="1">
      <c r="A151" s="680" t="s">
        <v>656</v>
      </c>
      <c r="B151" s="620"/>
      <c r="C151" s="616"/>
      <c r="D151" s="1012"/>
      <c r="E151" s="616"/>
      <c r="F151" s="616"/>
    </row>
    <row r="152" spans="1:6" ht="15" customHeight="1">
      <c r="A152" s="680" t="s">
        <v>865</v>
      </c>
      <c r="B152" s="620"/>
      <c r="C152" s="616"/>
      <c r="D152" s="1012"/>
      <c r="E152" s="616"/>
      <c r="F152" s="616"/>
    </row>
    <row r="153" spans="1:6" ht="11.1" customHeight="1">
      <c r="A153" s="680"/>
      <c r="B153" s="620"/>
      <c r="C153" s="616"/>
      <c r="D153" s="1012"/>
      <c r="E153" s="616"/>
      <c r="F153" s="616"/>
    </row>
    <row r="154" spans="1:6" ht="27.75" customHeight="1">
      <c r="A154" s="680" t="s">
        <v>657</v>
      </c>
      <c r="B154" s="620"/>
      <c r="C154" s="616"/>
      <c r="D154" s="1012"/>
      <c r="E154" s="616"/>
      <c r="F154" s="616"/>
    </row>
    <row r="155" spans="1:6" ht="11.1" customHeight="1">
      <c r="A155" s="680"/>
      <c r="B155" s="620"/>
      <c r="C155" s="616"/>
      <c r="D155" s="1012"/>
      <c r="E155" s="616"/>
      <c r="F155" s="616"/>
    </row>
    <row r="156" spans="1:6" ht="21" customHeight="1">
      <c r="A156" s="680" t="s">
        <v>984</v>
      </c>
      <c r="B156" s="620"/>
      <c r="C156" s="616"/>
      <c r="D156" s="1012"/>
      <c r="E156" s="616"/>
      <c r="F156" s="616"/>
    </row>
    <row r="157" spans="1:6">
      <c r="A157" s="620"/>
      <c r="B157" s="620"/>
      <c r="C157" s="616"/>
      <c r="D157" s="1012"/>
      <c r="E157" s="616"/>
      <c r="F157" s="616"/>
    </row>
    <row r="158" spans="1:6" ht="24" customHeight="1">
      <c r="A158" s="680" t="s">
        <v>658</v>
      </c>
      <c r="B158" s="620"/>
      <c r="C158" s="616"/>
      <c r="D158" s="1012"/>
      <c r="E158" s="616"/>
      <c r="F158" s="616"/>
    </row>
    <row r="159" spans="1:6">
      <c r="B159" s="620"/>
      <c r="C159" s="616"/>
      <c r="D159" s="1012"/>
      <c r="E159" s="616"/>
      <c r="F159" s="616"/>
    </row>
    <row r="160" spans="1:6">
      <c r="A160" s="620"/>
      <c r="B160" s="620"/>
      <c r="C160" s="616"/>
      <c r="D160" s="1012"/>
      <c r="E160" s="616"/>
      <c r="F160" s="616"/>
    </row>
    <row r="161" spans="1:6">
      <c r="A161" s="620"/>
      <c r="B161" s="620"/>
      <c r="C161" s="616"/>
      <c r="D161" s="1012"/>
      <c r="E161" s="616"/>
      <c r="F161" s="616"/>
    </row>
    <row r="162" spans="1:6">
      <c r="A162" s="620"/>
      <c r="B162" s="620"/>
      <c r="C162" s="616"/>
      <c r="D162" s="1012"/>
      <c r="E162" s="616"/>
      <c r="F162" s="616"/>
    </row>
    <row r="163" spans="1:6">
      <c r="A163" s="620"/>
      <c r="B163" s="620"/>
      <c r="C163" s="616"/>
      <c r="D163" s="1012"/>
      <c r="E163" s="616"/>
      <c r="F163" s="616"/>
    </row>
    <row r="164" spans="1:6">
      <c r="A164" s="620"/>
      <c r="B164" s="620"/>
      <c r="C164" s="616"/>
      <c r="D164" s="1012"/>
      <c r="E164" s="616"/>
      <c r="F164" s="616"/>
    </row>
    <row r="165" spans="1:6">
      <c r="A165" s="620"/>
      <c r="B165" s="620"/>
      <c r="C165" s="616"/>
      <c r="D165" s="1012"/>
      <c r="E165" s="616"/>
      <c r="F165" s="616"/>
    </row>
    <row r="166" spans="1:6">
      <c r="A166" s="620"/>
      <c r="B166" s="620"/>
      <c r="C166" s="616"/>
      <c r="D166" s="1012"/>
      <c r="E166" s="616"/>
      <c r="F166" s="616"/>
    </row>
    <row r="167" spans="1:6">
      <c r="A167" s="620"/>
      <c r="B167" s="620"/>
      <c r="C167" s="616"/>
      <c r="D167" s="1012"/>
      <c r="E167" s="616"/>
      <c r="F167" s="616"/>
    </row>
    <row r="168" spans="1:6">
      <c r="A168" s="620"/>
      <c r="B168" s="620"/>
      <c r="C168" s="616"/>
      <c r="D168" s="1012"/>
      <c r="E168" s="616"/>
      <c r="F168" s="616"/>
    </row>
    <row r="169" spans="1:6">
      <c r="A169" s="620"/>
      <c r="B169" s="620"/>
      <c r="C169" s="616"/>
      <c r="D169" s="1012"/>
      <c r="E169" s="616"/>
      <c r="F169" s="616"/>
    </row>
    <row r="170" spans="1:6">
      <c r="A170" s="620"/>
      <c r="B170" s="620"/>
      <c r="C170" s="616"/>
      <c r="D170" s="1012"/>
      <c r="E170" s="616"/>
      <c r="F170" s="616"/>
    </row>
    <row r="171" spans="1:6">
      <c r="C171" s="616"/>
      <c r="D171" s="1012"/>
      <c r="E171" s="616"/>
      <c r="F171" s="616"/>
    </row>
    <row r="172" spans="1:6">
      <c r="C172" s="616"/>
      <c r="D172" s="1012"/>
      <c r="E172" s="616"/>
      <c r="F172" s="616"/>
    </row>
    <row r="173" spans="1:6">
      <c r="C173" s="616"/>
      <c r="D173" s="1012"/>
      <c r="E173" s="616"/>
      <c r="F173" s="616"/>
    </row>
    <row r="174" spans="1:6">
      <c r="C174" s="616"/>
      <c r="D174" s="1012"/>
      <c r="E174" s="616"/>
      <c r="F174" s="616"/>
    </row>
    <row r="175" spans="1:6">
      <c r="C175" s="616"/>
      <c r="D175" s="1012"/>
      <c r="E175" s="616"/>
      <c r="F175" s="616"/>
    </row>
    <row r="176" spans="1:6">
      <c r="C176" s="616"/>
      <c r="D176" s="1012"/>
      <c r="E176" s="616"/>
      <c r="F176" s="616"/>
    </row>
    <row r="177" spans="3:6">
      <c r="C177" s="616"/>
      <c r="D177" s="1012"/>
      <c r="E177" s="616"/>
      <c r="F177" s="616"/>
    </row>
    <row r="178" spans="3:6">
      <c r="C178" s="616"/>
      <c r="D178" s="1012"/>
      <c r="E178" s="616"/>
      <c r="F178" s="616"/>
    </row>
    <row r="179" spans="3:6">
      <c r="C179" s="616"/>
      <c r="D179" s="1012"/>
      <c r="E179" s="616"/>
      <c r="F179" s="616"/>
    </row>
    <row r="180" spans="3:6">
      <c r="C180" s="616"/>
      <c r="D180" s="1012"/>
      <c r="E180" s="616"/>
      <c r="F180" s="616"/>
    </row>
    <row r="181" spans="3:6">
      <c r="C181" s="616"/>
      <c r="D181" s="1012"/>
      <c r="E181" s="616"/>
      <c r="F181" s="616"/>
    </row>
    <row r="182" spans="3:6">
      <c r="C182" s="616"/>
      <c r="D182" s="1012"/>
      <c r="E182" s="616"/>
      <c r="F182" s="616"/>
    </row>
    <row r="183" spans="3:6">
      <c r="C183" s="616"/>
      <c r="D183" s="1012"/>
      <c r="E183" s="616"/>
      <c r="F183" s="616"/>
    </row>
    <row r="184" spans="3:6">
      <c r="C184" s="616"/>
      <c r="D184" s="1012"/>
      <c r="E184" s="616"/>
      <c r="F184" s="616"/>
    </row>
    <row r="185" spans="3:6">
      <c r="C185" s="616"/>
      <c r="D185" s="1012"/>
      <c r="E185" s="616"/>
      <c r="F185" s="616"/>
    </row>
    <row r="186" spans="3:6">
      <c r="C186" s="616"/>
      <c r="D186" s="1012"/>
      <c r="E186" s="616"/>
      <c r="F186" s="616"/>
    </row>
    <row r="187" spans="3:6">
      <c r="C187" s="616"/>
      <c r="D187" s="1012"/>
      <c r="E187" s="616"/>
      <c r="F187" s="616"/>
    </row>
    <row r="188" spans="3:6">
      <c r="C188" s="616"/>
      <c r="D188" s="1012"/>
      <c r="E188" s="616"/>
      <c r="F188" s="616"/>
    </row>
    <row r="189" spans="3:6">
      <c r="C189" s="616"/>
      <c r="D189" s="1012"/>
      <c r="E189" s="616"/>
      <c r="F189" s="616"/>
    </row>
    <row r="190" spans="3:6">
      <c r="C190" s="616"/>
      <c r="D190" s="1012"/>
      <c r="E190" s="616"/>
      <c r="F190" s="616"/>
    </row>
    <row r="191" spans="3:6">
      <c r="C191" s="616"/>
      <c r="D191" s="1012"/>
      <c r="E191" s="616"/>
      <c r="F191" s="616"/>
    </row>
    <row r="192" spans="3:6">
      <c r="C192" s="616"/>
      <c r="D192" s="1012"/>
      <c r="E192" s="616"/>
      <c r="F192" s="616"/>
    </row>
    <row r="193" spans="3:6">
      <c r="C193" s="616"/>
      <c r="D193" s="1012"/>
      <c r="E193" s="616"/>
      <c r="F193" s="616"/>
    </row>
    <row r="194" spans="3:6">
      <c r="C194" s="616"/>
      <c r="D194" s="1012"/>
      <c r="E194" s="616"/>
      <c r="F194" s="616"/>
    </row>
    <row r="195" spans="3:6">
      <c r="C195" s="616"/>
      <c r="D195" s="1012"/>
      <c r="E195" s="616"/>
      <c r="F195" s="616"/>
    </row>
    <row r="196" spans="3:6">
      <c r="C196" s="616"/>
      <c r="D196" s="1012"/>
      <c r="E196" s="616"/>
      <c r="F196" s="616"/>
    </row>
    <row r="197" spans="3:6">
      <c r="C197" s="616"/>
      <c r="D197" s="1012"/>
      <c r="E197" s="616"/>
      <c r="F197" s="616"/>
    </row>
    <row r="198" spans="3:6">
      <c r="C198" s="616"/>
      <c r="D198" s="1012"/>
      <c r="E198" s="616"/>
      <c r="F198" s="616"/>
    </row>
    <row r="199" spans="3:6">
      <c r="C199" s="616"/>
      <c r="D199" s="1012"/>
      <c r="E199" s="616"/>
      <c r="F199" s="616"/>
    </row>
    <row r="200" spans="3:6">
      <c r="C200" s="616"/>
      <c r="D200" s="1012"/>
      <c r="E200" s="616"/>
      <c r="F200" s="616"/>
    </row>
    <row r="201" spans="3:6">
      <c r="C201" s="616"/>
      <c r="D201" s="1012"/>
      <c r="E201" s="616"/>
      <c r="F201" s="616"/>
    </row>
    <row r="202" spans="3:6">
      <c r="C202" s="616"/>
      <c r="D202" s="1012"/>
      <c r="E202" s="616"/>
      <c r="F202" s="616"/>
    </row>
    <row r="203" spans="3:6">
      <c r="C203" s="616"/>
      <c r="D203" s="1012"/>
      <c r="E203" s="616"/>
      <c r="F203" s="616"/>
    </row>
    <row r="204" spans="3:6">
      <c r="C204" s="616"/>
      <c r="D204" s="1012"/>
      <c r="E204" s="616"/>
      <c r="F204" s="616"/>
    </row>
    <row r="205" spans="3:6">
      <c r="C205" s="616"/>
      <c r="D205" s="1012"/>
      <c r="E205" s="616"/>
      <c r="F205" s="616"/>
    </row>
    <row r="206" spans="3:6">
      <c r="C206" s="616"/>
      <c r="D206" s="1012"/>
      <c r="E206" s="616"/>
      <c r="F206" s="616"/>
    </row>
    <row r="207" spans="3:6">
      <c r="C207" s="616"/>
      <c r="D207" s="1012"/>
      <c r="E207" s="616"/>
      <c r="F207" s="616"/>
    </row>
    <row r="208" spans="3:6">
      <c r="C208" s="616"/>
      <c r="D208" s="1012"/>
      <c r="E208" s="616"/>
      <c r="F208" s="616"/>
    </row>
    <row r="209" spans="3:6">
      <c r="C209" s="616"/>
      <c r="D209" s="1012"/>
      <c r="E209" s="616"/>
      <c r="F209" s="616"/>
    </row>
    <row r="210" spans="3:6">
      <c r="C210" s="616"/>
      <c r="D210" s="1012"/>
      <c r="E210" s="616"/>
      <c r="F210" s="616"/>
    </row>
    <row r="211" spans="3:6">
      <c r="C211" s="616"/>
      <c r="D211" s="1012"/>
      <c r="E211" s="616"/>
      <c r="F211" s="616"/>
    </row>
    <row r="212" spans="3:6">
      <c r="C212" s="616"/>
      <c r="D212" s="1012"/>
      <c r="E212" s="616"/>
      <c r="F212" s="616"/>
    </row>
    <row r="213" spans="3:6">
      <c r="C213" s="616"/>
      <c r="D213" s="1012"/>
      <c r="E213" s="616"/>
      <c r="F213" s="616"/>
    </row>
    <row r="214" spans="3:6">
      <c r="C214" s="616"/>
      <c r="D214" s="1012"/>
      <c r="E214" s="616"/>
      <c r="F214" s="616"/>
    </row>
    <row r="215" spans="3:6">
      <c r="C215" s="616"/>
      <c r="D215" s="1012"/>
      <c r="E215" s="616"/>
      <c r="F215" s="616"/>
    </row>
    <row r="216" spans="3:6">
      <c r="C216" s="616"/>
      <c r="D216" s="1012"/>
      <c r="E216" s="616"/>
      <c r="F216" s="616"/>
    </row>
    <row r="217" spans="3:6">
      <c r="C217" s="616"/>
      <c r="D217" s="1012"/>
      <c r="E217" s="616"/>
      <c r="F217" s="616"/>
    </row>
    <row r="218" spans="3:6">
      <c r="C218" s="616"/>
      <c r="D218" s="1012"/>
      <c r="E218" s="616"/>
      <c r="F218" s="616"/>
    </row>
    <row r="219" spans="3:6">
      <c r="C219" s="616"/>
      <c r="D219" s="1012"/>
      <c r="E219" s="616"/>
      <c r="F219" s="616"/>
    </row>
    <row r="220" spans="3:6">
      <c r="C220" s="616"/>
      <c r="D220" s="1012"/>
      <c r="E220" s="616"/>
      <c r="F220" s="616"/>
    </row>
    <row r="221" spans="3:6">
      <c r="C221" s="616"/>
      <c r="D221" s="1012"/>
      <c r="E221" s="616"/>
      <c r="F221" s="616"/>
    </row>
    <row r="222" spans="3:6">
      <c r="C222" s="616"/>
      <c r="D222" s="1012"/>
      <c r="E222" s="616"/>
      <c r="F222" s="616"/>
    </row>
    <row r="223" spans="3:6">
      <c r="C223" s="616"/>
      <c r="D223" s="1012"/>
      <c r="E223" s="616"/>
      <c r="F223" s="616"/>
    </row>
    <row r="224" spans="3:6">
      <c r="C224" s="616"/>
      <c r="D224" s="1012"/>
      <c r="E224" s="616"/>
      <c r="F224" s="616"/>
    </row>
    <row r="225" spans="3:6">
      <c r="C225" s="616"/>
      <c r="D225" s="1012"/>
      <c r="E225" s="616"/>
      <c r="F225" s="616"/>
    </row>
    <row r="226" spans="3:6">
      <c r="C226" s="616"/>
      <c r="D226" s="1012"/>
      <c r="E226" s="616"/>
      <c r="F226" s="616"/>
    </row>
    <row r="227" spans="3:6">
      <c r="C227" s="616"/>
      <c r="D227" s="1012"/>
      <c r="E227" s="616"/>
      <c r="F227" s="616"/>
    </row>
    <row r="228" spans="3:6">
      <c r="C228" s="616"/>
      <c r="D228" s="1012"/>
      <c r="E228" s="616"/>
      <c r="F228" s="616"/>
    </row>
    <row r="229" spans="3:6">
      <c r="C229" s="616"/>
      <c r="D229" s="1012"/>
      <c r="E229" s="616"/>
      <c r="F229" s="616"/>
    </row>
    <row r="230" spans="3:6">
      <c r="C230" s="616"/>
      <c r="D230" s="1012"/>
      <c r="E230" s="616"/>
      <c r="F230" s="616"/>
    </row>
    <row r="231" spans="3:6">
      <c r="C231" s="616"/>
      <c r="D231" s="1012"/>
      <c r="E231" s="616"/>
      <c r="F231" s="616"/>
    </row>
    <row r="232" spans="3:6">
      <c r="C232" s="616"/>
      <c r="D232" s="1012"/>
      <c r="E232" s="616"/>
      <c r="F232" s="616"/>
    </row>
    <row r="233" spans="3:6">
      <c r="C233" s="616"/>
      <c r="D233" s="1012"/>
      <c r="E233" s="616"/>
      <c r="F233" s="616"/>
    </row>
    <row r="234" spans="3:6">
      <c r="C234" s="616"/>
      <c r="D234" s="1012"/>
      <c r="E234" s="616"/>
      <c r="F234" s="616"/>
    </row>
    <row r="235" spans="3:6">
      <c r="C235" s="616"/>
      <c r="D235" s="1012"/>
      <c r="E235" s="616"/>
      <c r="F235" s="616"/>
    </row>
    <row r="236" spans="3:6">
      <c r="C236" s="616"/>
      <c r="D236" s="1012"/>
      <c r="E236" s="616"/>
      <c r="F236" s="616"/>
    </row>
    <row r="237" spans="3:6">
      <c r="C237" s="616"/>
      <c r="D237" s="1012"/>
      <c r="E237" s="616"/>
      <c r="F237" s="616"/>
    </row>
    <row r="238" spans="3:6">
      <c r="C238" s="616"/>
      <c r="D238" s="1012"/>
      <c r="E238" s="616"/>
      <c r="F238" s="616"/>
    </row>
    <row r="239" spans="3:6">
      <c r="C239" s="616"/>
      <c r="D239" s="1012"/>
      <c r="E239" s="616"/>
      <c r="F239" s="616"/>
    </row>
    <row r="240" spans="3:6">
      <c r="C240" s="616"/>
      <c r="D240" s="1012"/>
      <c r="E240" s="616"/>
      <c r="F240" s="616"/>
    </row>
    <row r="241" spans="3:6">
      <c r="C241" s="616"/>
      <c r="D241" s="1012"/>
      <c r="E241" s="616"/>
      <c r="F241" s="616"/>
    </row>
    <row r="242" spans="3:6">
      <c r="C242" s="616"/>
      <c r="D242" s="1012"/>
      <c r="E242" s="616"/>
      <c r="F242" s="616"/>
    </row>
    <row r="243" spans="3:6">
      <c r="C243" s="616"/>
      <c r="D243" s="1012"/>
      <c r="E243" s="616"/>
      <c r="F243" s="616"/>
    </row>
    <row r="244" spans="3:6">
      <c r="C244" s="616"/>
      <c r="D244" s="1012"/>
      <c r="E244" s="616"/>
      <c r="F244" s="616"/>
    </row>
    <row r="245" spans="3:6">
      <c r="C245" s="616"/>
      <c r="D245" s="1012"/>
      <c r="E245" s="616"/>
      <c r="F245" s="616"/>
    </row>
    <row r="246" spans="3:6">
      <c r="C246" s="616"/>
      <c r="D246" s="1012"/>
      <c r="E246" s="616"/>
      <c r="F246" s="616"/>
    </row>
    <row r="247" spans="3:6">
      <c r="C247" s="616"/>
      <c r="D247" s="1012"/>
      <c r="E247" s="616"/>
      <c r="F247" s="616"/>
    </row>
    <row r="248" spans="3:6">
      <c r="C248" s="616"/>
      <c r="D248" s="1012"/>
      <c r="E248" s="616"/>
      <c r="F248" s="616"/>
    </row>
    <row r="249" spans="3:6">
      <c r="C249" s="616"/>
      <c r="D249" s="1012"/>
      <c r="E249" s="616"/>
      <c r="F249" s="616"/>
    </row>
    <row r="250" spans="3:6">
      <c r="C250" s="616"/>
      <c r="D250" s="1012"/>
      <c r="E250" s="616"/>
      <c r="F250" s="616"/>
    </row>
    <row r="251" spans="3:6">
      <c r="C251" s="616"/>
      <c r="D251" s="1012"/>
      <c r="E251" s="616"/>
      <c r="F251" s="616"/>
    </row>
    <row r="252" spans="3:6">
      <c r="C252" s="616"/>
      <c r="D252" s="1012"/>
      <c r="E252" s="616"/>
      <c r="F252" s="616"/>
    </row>
    <row r="253" spans="3:6">
      <c r="C253" s="616"/>
      <c r="D253" s="1012"/>
      <c r="E253" s="616"/>
      <c r="F253" s="616"/>
    </row>
    <row r="254" spans="3:6">
      <c r="C254" s="616"/>
      <c r="D254" s="1012"/>
      <c r="E254" s="616"/>
      <c r="F254" s="616"/>
    </row>
    <row r="255" spans="3:6">
      <c r="C255" s="616"/>
      <c r="D255" s="1012"/>
      <c r="E255" s="616"/>
      <c r="F255" s="616"/>
    </row>
    <row r="256" spans="3:6">
      <c r="C256" s="616"/>
      <c r="D256" s="1012"/>
      <c r="E256" s="616"/>
      <c r="F256" s="616"/>
    </row>
    <row r="257" spans="3:6">
      <c r="C257" s="616"/>
      <c r="D257" s="1012"/>
      <c r="E257" s="616"/>
      <c r="F257" s="616"/>
    </row>
    <row r="258" spans="3:6">
      <c r="C258" s="616"/>
      <c r="D258" s="1012"/>
      <c r="E258" s="616"/>
      <c r="F258" s="616"/>
    </row>
    <row r="259" spans="3:6">
      <c r="C259" s="616"/>
      <c r="D259" s="1012"/>
      <c r="E259" s="616"/>
      <c r="F259" s="616"/>
    </row>
    <row r="260" spans="3:6">
      <c r="C260" s="616"/>
      <c r="D260" s="1012"/>
      <c r="E260" s="616"/>
      <c r="F260" s="616"/>
    </row>
    <row r="261" spans="3:6">
      <c r="C261" s="616"/>
      <c r="D261" s="1012"/>
      <c r="E261" s="616"/>
      <c r="F261" s="616"/>
    </row>
    <row r="262" spans="3:6">
      <c r="C262" s="616"/>
      <c r="D262" s="1012"/>
      <c r="E262" s="616"/>
      <c r="F262" s="616"/>
    </row>
    <row r="263" spans="3:6">
      <c r="C263" s="616"/>
      <c r="D263" s="1012"/>
      <c r="E263" s="616"/>
      <c r="F263" s="616"/>
    </row>
    <row r="264" spans="3:6">
      <c r="C264" s="616"/>
      <c r="D264" s="1012"/>
      <c r="E264" s="616"/>
      <c r="F264" s="616"/>
    </row>
    <row r="265" spans="3:6">
      <c r="C265" s="616"/>
      <c r="D265" s="1012"/>
      <c r="E265" s="616"/>
      <c r="F265" s="616"/>
    </row>
    <row r="266" spans="3:6">
      <c r="C266" s="616"/>
      <c r="D266" s="1012"/>
      <c r="E266" s="616"/>
      <c r="F266" s="616"/>
    </row>
    <row r="267" spans="3:6">
      <c r="C267" s="616"/>
      <c r="D267" s="1012"/>
      <c r="E267" s="616"/>
      <c r="F267" s="616"/>
    </row>
    <row r="268" spans="3:6">
      <c r="C268" s="616"/>
      <c r="D268" s="1012"/>
      <c r="E268" s="616"/>
      <c r="F268" s="616"/>
    </row>
    <row r="269" spans="3:6">
      <c r="C269" s="616"/>
      <c r="D269" s="1012"/>
      <c r="E269" s="616"/>
      <c r="F269" s="616"/>
    </row>
    <row r="270" spans="3:6">
      <c r="C270" s="616"/>
      <c r="D270" s="1012"/>
      <c r="E270" s="616"/>
      <c r="F270" s="616"/>
    </row>
    <row r="271" spans="3:6">
      <c r="C271" s="616"/>
      <c r="D271" s="1012"/>
      <c r="E271" s="616"/>
      <c r="F271" s="616"/>
    </row>
    <row r="272" spans="3:6">
      <c r="C272" s="616"/>
      <c r="D272" s="1012"/>
      <c r="E272" s="616"/>
      <c r="F272" s="616"/>
    </row>
    <row r="273" spans="3:6">
      <c r="C273" s="616"/>
      <c r="D273" s="1012"/>
      <c r="E273" s="616"/>
      <c r="F273" s="616"/>
    </row>
    <row r="274" spans="3:6">
      <c r="C274" s="616"/>
      <c r="D274" s="1012"/>
      <c r="E274" s="616"/>
      <c r="F274" s="616"/>
    </row>
    <row r="275" spans="3:6">
      <c r="C275" s="616"/>
      <c r="D275" s="1012"/>
      <c r="E275" s="616"/>
      <c r="F275" s="616"/>
    </row>
    <row r="276" spans="3:6">
      <c r="C276" s="616"/>
      <c r="D276" s="1012"/>
      <c r="E276" s="616"/>
      <c r="F276" s="616"/>
    </row>
    <row r="277" spans="3:6">
      <c r="C277" s="616"/>
      <c r="D277" s="1012"/>
      <c r="E277" s="616"/>
      <c r="F277" s="616"/>
    </row>
  </sheetData>
  <mergeCells count="3">
    <mergeCell ref="A4:F4"/>
    <mergeCell ref="A5:F5"/>
    <mergeCell ref="D144:F144"/>
  </mergeCells>
  <printOptions horizontalCentered="1"/>
  <pageMargins left="0.78740157480314965" right="0.78740157480314965" top="0.39370078740157483" bottom="0.11811023622047245" header="0.51181102362204722" footer="3.937007874015748E-2"/>
  <pageSetup paperSize="9" scale="95" orientation="portrait" r:id="rId1"/>
  <headerFooter alignWithMargins="0">
    <oddFooter>&amp;R&amp;8&amp;P</oddFooter>
  </headerFooter>
  <rowBreaks count="2" manualBreakCount="2">
    <brk id="54" max="16383" man="1"/>
    <brk id="108" max="1638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Q45"/>
  <sheetViews>
    <sheetView workbookViewId="0">
      <selection activeCell="K8" sqref="K8"/>
    </sheetView>
  </sheetViews>
  <sheetFormatPr defaultColWidth="9.109375" defaultRowHeight="13.2"/>
  <cols>
    <col min="1" max="1" width="13.33203125" style="4" customWidth="1"/>
    <col min="2" max="2" width="12.88671875" style="4" customWidth="1"/>
    <col min="3" max="3" width="12" style="4" customWidth="1"/>
    <col min="4" max="4" width="11.6640625" style="4" customWidth="1"/>
    <col min="5" max="5" width="11.44140625" style="4" customWidth="1"/>
    <col min="6" max="6" width="11.88671875" style="4" customWidth="1"/>
    <col min="7" max="7" width="12" style="4" customWidth="1"/>
    <col min="8" max="8" width="11.44140625" style="4" customWidth="1"/>
    <col min="9" max="9" width="16.6640625" style="4" customWidth="1"/>
    <col min="10" max="10" width="12.5546875" style="4" customWidth="1"/>
    <col min="11" max="11" width="14" style="4" customWidth="1"/>
    <col min="12" max="12" width="11.88671875" style="4" customWidth="1"/>
    <col min="13" max="13" width="10.109375" style="4" customWidth="1"/>
    <col min="14" max="14" width="12.5546875" style="4" customWidth="1"/>
    <col min="15" max="15" width="11.109375" style="4" customWidth="1"/>
    <col min="16" max="16384" width="9.109375" style="4"/>
  </cols>
  <sheetData>
    <row r="1" spans="1:17" ht="16.8">
      <c r="A1" s="537" t="s">
        <v>280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172"/>
      <c r="M1" s="184"/>
      <c r="N1" s="184"/>
      <c r="O1" s="184"/>
      <c r="P1" s="98"/>
      <c r="Q1" s="98"/>
    </row>
    <row r="2" spans="1:17" ht="16.8">
      <c r="A2" s="537" t="s">
        <v>603</v>
      </c>
      <c r="B2" s="50"/>
      <c r="C2" s="50"/>
      <c r="D2" s="50"/>
      <c r="E2" s="50"/>
      <c r="F2" s="50"/>
      <c r="G2" s="50"/>
      <c r="H2" s="50"/>
      <c r="I2" s="50"/>
      <c r="J2" s="50"/>
      <c r="L2" s="172"/>
      <c r="M2" s="98"/>
      <c r="N2" s="98"/>
      <c r="O2" s="98"/>
      <c r="P2" s="98"/>
      <c r="Q2" s="98"/>
    </row>
    <row r="3" spans="1:17">
      <c r="L3" s="172"/>
      <c r="M3" s="532"/>
      <c r="N3" s="532"/>
      <c r="O3" s="532"/>
      <c r="P3" s="98"/>
      <c r="Q3" s="98"/>
    </row>
    <row r="4" spans="1:17" ht="16.2" thickBot="1">
      <c r="B4" s="369" t="s">
        <v>604</v>
      </c>
      <c r="C4" s="98"/>
      <c r="D4" s="98"/>
      <c r="E4" s="357"/>
      <c r="F4" s="144"/>
      <c r="G4" s="98"/>
      <c r="H4" s="98"/>
      <c r="L4" s="172"/>
      <c r="M4" s="532"/>
      <c r="N4" s="532"/>
      <c r="O4" s="532"/>
      <c r="P4" s="98"/>
      <c r="Q4" s="98"/>
    </row>
    <row r="5" spans="1:17" ht="27.75" customHeight="1" thickTop="1">
      <c r="B5" s="1987" t="s">
        <v>242</v>
      </c>
      <c r="C5" s="2000" t="s">
        <v>243</v>
      </c>
      <c r="D5" s="17" t="s">
        <v>244</v>
      </c>
      <c r="E5" s="1987" t="s">
        <v>245</v>
      </c>
      <c r="G5" s="102"/>
      <c r="H5" s="351" t="s">
        <v>250</v>
      </c>
      <c r="I5" s="103"/>
      <c r="J5" s="103"/>
      <c r="K5" s="104"/>
      <c r="L5" s="172"/>
      <c r="M5" s="532"/>
      <c r="N5" s="532"/>
      <c r="O5" s="532"/>
      <c r="P5" s="98"/>
      <c r="Q5" s="98"/>
    </row>
    <row r="6" spans="1:17" ht="51.75" customHeight="1">
      <c r="B6" s="1999"/>
      <c r="C6" s="2001"/>
      <c r="D6" s="17" t="s">
        <v>246</v>
      </c>
      <c r="E6" s="1988"/>
      <c r="G6" s="107"/>
      <c r="H6" s="352" t="s">
        <v>251</v>
      </c>
      <c r="I6" s="105" t="s">
        <v>334</v>
      </c>
      <c r="J6" s="105" t="s">
        <v>335</v>
      </c>
      <c r="K6" s="360" t="s">
        <v>608</v>
      </c>
      <c r="L6" s="172"/>
      <c r="M6" s="532"/>
      <c r="N6" s="532"/>
      <c r="O6" s="532"/>
      <c r="P6" s="98"/>
      <c r="Q6" s="98"/>
    </row>
    <row r="7" spans="1:17" ht="16.8">
      <c r="B7" s="1999"/>
      <c r="C7" s="81" t="s">
        <v>247</v>
      </c>
      <c r="D7" s="81" t="s">
        <v>248</v>
      </c>
      <c r="E7" s="9"/>
      <c r="F7" s="101" t="s">
        <v>241</v>
      </c>
      <c r="G7" s="192" t="s">
        <v>252</v>
      </c>
      <c r="H7" s="353"/>
      <c r="I7" s="169" t="e">
        <f>#REF!</f>
        <v>#REF!</v>
      </c>
      <c r="J7" s="169">
        <f>'Баланс электрической энергии'!$H$21*1000</f>
        <v>-2.4424906541753444E-12</v>
      </c>
      <c r="K7" s="106" t="e">
        <f t="shared" ref="K7:K12" si="0">J7/$J$13</f>
        <v>#REF!</v>
      </c>
      <c r="L7" s="533"/>
      <c r="M7" s="98"/>
      <c r="N7" s="533"/>
      <c r="O7" s="534"/>
      <c r="P7" s="98"/>
      <c r="Q7" s="98"/>
    </row>
    <row r="8" spans="1:17" ht="12.75" customHeight="1">
      <c r="B8" s="1988"/>
      <c r="C8" s="9" t="s">
        <v>44</v>
      </c>
      <c r="D8" s="9" t="s">
        <v>249</v>
      </c>
      <c r="E8" s="9" t="s">
        <v>249</v>
      </c>
      <c r="F8" s="100"/>
      <c r="G8" s="2020" t="s">
        <v>339</v>
      </c>
      <c r="H8" s="353" t="s">
        <v>340</v>
      </c>
      <c r="I8" s="169" t="e">
        <f>J8+#REF!/#REF!*'С-Э и сет.расч.инд.межсет.2011'!J8</f>
        <v>#REF!</v>
      </c>
      <c r="J8" s="169" t="e">
        <f>#REF!-J12</f>
        <v>#REF!</v>
      </c>
      <c r="K8" s="106" t="e">
        <f t="shared" si="0"/>
        <v>#REF!</v>
      </c>
      <c r="L8" s="543" t="s">
        <v>606</v>
      </c>
      <c r="M8" s="543" t="s">
        <v>625</v>
      </c>
      <c r="N8" s="543" t="s">
        <v>103</v>
      </c>
      <c r="O8" s="98"/>
      <c r="P8" s="98"/>
      <c r="Q8" s="98"/>
    </row>
    <row r="9" spans="1:17">
      <c r="B9" s="9" t="s">
        <v>226</v>
      </c>
      <c r="C9" s="539">
        <v>390084.12</v>
      </c>
      <c r="D9" s="539">
        <v>163.41999999999999</v>
      </c>
      <c r="E9" s="539">
        <v>719.55</v>
      </c>
      <c r="F9" s="540">
        <f>(C9*12/(E9-D9))</f>
        <v>8417.113696437882</v>
      </c>
      <c r="G9" s="2020"/>
      <c r="H9" s="354" t="s">
        <v>341</v>
      </c>
      <c r="I9" s="169">
        <v>5977.41</v>
      </c>
      <c r="J9" s="169" t="e">
        <f>#REF!</f>
        <v>#REF!</v>
      </c>
      <c r="K9" s="106" t="e">
        <f t="shared" si="0"/>
        <v>#REF!</v>
      </c>
      <c r="L9" s="544" t="e">
        <f>#REF!</f>
        <v>#REF!</v>
      </c>
      <c r="M9" s="544" t="e">
        <f>#REF!</f>
        <v>#REF!</v>
      </c>
      <c r="N9" s="544" t="e">
        <f>SUM(L9:M9)</f>
        <v>#REF!</v>
      </c>
      <c r="O9" s="98"/>
      <c r="P9" s="98"/>
      <c r="Q9" s="98"/>
    </row>
    <row r="10" spans="1:17">
      <c r="B10" s="9" t="s">
        <v>211</v>
      </c>
      <c r="C10" s="191">
        <v>712574.24</v>
      </c>
      <c r="D10" s="191">
        <v>174.74</v>
      </c>
      <c r="E10" s="191">
        <v>1207.1199999999999</v>
      </c>
      <c r="F10" s="100">
        <f>(C10*12/(E10-D10))</f>
        <v>8282.6971463995815</v>
      </c>
      <c r="G10" s="2020"/>
      <c r="H10" s="353" t="s">
        <v>342</v>
      </c>
      <c r="I10" s="169">
        <v>321.49</v>
      </c>
      <c r="J10" s="169" t="e">
        <f>#REF!</f>
        <v>#REF!</v>
      </c>
      <c r="K10" s="106" t="e">
        <f t="shared" si="0"/>
        <v>#REF!</v>
      </c>
      <c r="L10" s="543" t="s">
        <v>607</v>
      </c>
      <c r="M10" s="543"/>
      <c r="N10" s="545"/>
      <c r="O10" s="98"/>
      <c r="P10" s="98"/>
      <c r="Q10" s="98"/>
    </row>
    <row r="11" spans="1:17">
      <c r="B11" s="17" t="s">
        <v>253</v>
      </c>
      <c r="C11" s="191">
        <v>1012075.01</v>
      </c>
      <c r="D11" s="191">
        <v>418.61</v>
      </c>
      <c r="E11" s="191">
        <v>1956.6</v>
      </c>
      <c r="F11" s="100">
        <f>(C11*12/(E11-D11))</f>
        <v>7896.6053875512862</v>
      </c>
      <c r="G11" s="2020"/>
      <c r="H11" s="354" t="s">
        <v>343</v>
      </c>
      <c r="I11" s="169" t="e">
        <f>J11+#REF!/#REF!*'С-Э и сет.расч.инд.межсет.2011'!J11</f>
        <v>#REF!</v>
      </c>
      <c r="J11" s="169" t="e">
        <f>#REF!+#REF!</f>
        <v>#REF!</v>
      </c>
      <c r="K11" s="106" t="e">
        <f t="shared" si="0"/>
        <v>#REF!</v>
      </c>
      <c r="L11" s="543" t="e">
        <f>L9/$N$9</f>
        <v>#REF!</v>
      </c>
      <c r="M11" s="543" t="e">
        <f>M9/$N$9</f>
        <v>#REF!</v>
      </c>
      <c r="N11" s="543" t="e">
        <f>SUM(L11:M11)</f>
        <v>#REF!</v>
      </c>
      <c r="O11" s="98"/>
      <c r="P11" s="98"/>
      <c r="Q11" s="98"/>
    </row>
    <row r="12" spans="1:17" ht="24" customHeight="1">
      <c r="B12" s="9" t="s">
        <v>215</v>
      </c>
      <c r="C12" s="539">
        <v>1840807.32</v>
      </c>
      <c r="D12" s="539">
        <v>477.56</v>
      </c>
      <c r="E12" s="539">
        <v>3031.8</v>
      </c>
      <c r="F12" s="540">
        <f>(C12*12/(E12-D12))</f>
        <v>8648.2428589325973</v>
      </c>
      <c r="G12" s="347"/>
      <c r="H12" s="355" t="s">
        <v>359</v>
      </c>
      <c r="I12" s="348" t="e">
        <f>J12+#REF!/#REF!*'С-Э и сет.расч.инд.межсет.2011'!J12</f>
        <v>#REF!</v>
      </c>
      <c r="J12" s="348" t="e">
        <f>#REF!*1000</f>
        <v>#REF!</v>
      </c>
      <c r="K12" s="349" t="e">
        <f t="shared" si="0"/>
        <v>#REF!</v>
      </c>
      <c r="L12" s="533"/>
      <c r="M12" s="554" t="e">
        <f>SUM(C22:C23)</f>
        <v>#REF!</v>
      </c>
      <c r="N12" s="554" t="e">
        <f>B22*K9</f>
        <v>#REF!</v>
      </c>
      <c r="O12" s="98"/>
      <c r="P12" s="98"/>
      <c r="Q12" s="98"/>
    </row>
    <row r="13" spans="1:17" ht="13.8" thickBot="1">
      <c r="B13" s="341" t="s">
        <v>352</v>
      </c>
      <c r="C13" s="342">
        <v>20334.72</v>
      </c>
      <c r="D13" s="342">
        <v>191.67</v>
      </c>
      <c r="E13" s="342">
        <v>235.36</v>
      </c>
      <c r="F13" s="196">
        <f>(C13*12/(E13-D13))</f>
        <v>5585.1828793774284</v>
      </c>
      <c r="G13" s="193" t="s">
        <v>254</v>
      </c>
      <c r="H13" s="353"/>
      <c r="I13" s="108" t="e">
        <f>SUM(I7:I12)</f>
        <v>#REF!</v>
      </c>
      <c r="J13" s="108" t="e">
        <f>SUM(J7:J12)</f>
        <v>#REF!</v>
      </c>
      <c r="K13" s="106" t="e">
        <f>SUM(K7:K12)</f>
        <v>#REF!</v>
      </c>
      <c r="L13" s="534">
        <f>'Баланс электрической энергии'!H8*1000</f>
        <v>20726.210439999999</v>
      </c>
      <c r="M13" s="535"/>
      <c r="N13" s="533"/>
      <c r="O13" s="98"/>
      <c r="P13" s="98"/>
      <c r="Q13" s="98"/>
    </row>
    <row r="14" spans="1:17" ht="14.4" thickTop="1" thickBot="1">
      <c r="E14" s="5" t="s">
        <v>285</v>
      </c>
      <c r="F14" s="167">
        <f>(365-53)*16</f>
        <v>4992</v>
      </c>
      <c r="G14" s="350"/>
      <c r="H14" s="356"/>
      <c r="I14" s="109" t="s">
        <v>255</v>
      </c>
      <c r="J14" s="110">
        <f>('Баланс электрической энергии'!H21+'Баланс электрической энергии'!H28)*1000</f>
        <v>19273.303439999992</v>
      </c>
      <c r="K14" s="111"/>
      <c r="L14" s="98"/>
      <c r="M14" s="534"/>
      <c r="N14" s="98"/>
      <c r="O14" s="98"/>
      <c r="P14" s="98"/>
      <c r="Q14" s="98"/>
    </row>
    <row r="15" spans="1:17" ht="14.4" thickTop="1">
      <c r="A15" s="370" t="s">
        <v>605</v>
      </c>
      <c r="B15" s="112"/>
      <c r="C15" s="113"/>
      <c r="D15" s="113"/>
      <c r="E15" s="113"/>
      <c r="F15" s="319"/>
      <c r="G15" s="98"/>
      <c r="H15" s="98"/>
      <c r="L15" s="536"/>
      <c r="M15" s="98"/>
      <c r="N15" s="98"/>
      <c r="O15" s="98"/>
      <c r="P15" s="98"/>
      <c r="Q15" s="98"/>
    </row>
    <row r="16" spans="1:17">
      <c r="A16" s="114"/>
      <c r="B16" s="113"/>
      <c r="C16" s="113"/>
      <c r="D16" s="115" t="s">
        <v>256</v>
      </c>
      <c r="E16" s="116" t="e">
        <f>#REF!</f>
        <v>#REF!</v>
      </c>
      <c r="F16" s="117" t="s">
        <v>257</v>
      </c>
      <c r="G16" s="117"/>
      <c r="H16" s="117"/>
      <c r="I16" s="359"/>
    </row>
    <row r="17" spans="1:17" ht="56.25" customHeight="1">
      <c r="A17" s="118" t="s">
        <v>242</v>
      </c>
      <c r="B17" s="118" t="s">
        <v>258</v>
      </c>
      <c r="C17" s="118" t="s">
        <v>259</v>
      </c>
      <c r="D17" s="118" t="s">
        <v>260</v>
      </c>
      <c r="E17" s="118" t="s">
        <v>504</v>
      </c>
      <c r="F17" s="118" t="s">
        <v>505</v>
      </c>
      <c r="G17" s="118" t="s">
        <v>329</v>
      </c>
      <c r="H17" s="118" t="s">
        <v>261</v>
      </c>
      <c r="I17" s="118" t="s">
        <v>337</v>
      </c>
      <c r="J17" s="118" t="s">
        <v>262</v>
      </c>
      <c r="K17" s="119" t="s">
        <v>263</v>
      </c>
      <c r="L17" s="120" t="s">
        <v>264</v>
      </c>
      <c r="M17" s="120" t="s">
        <v>265</v>
      </c>
      <c r="N17" s="121" t="s">
        <v>266</v>
      </c>
      <c r="O17" s="121" t="s">
        <v>267</v>
      </c>
    </row>
    <row r="18" spans="1:17" s="2" customFormat="1">
      <c r="A18" s="122"/>
      <c r="B18" s="123" t="s">
        <v>268</v>
      </c>
      <c r="C18" s="315"/>
      <c r="D18" s="122" t="s">
        <v>269</v>
      </c>
      <c r="E18" s="122" t="s">
        <v>269</v>
      </c>
      <c r="F18" s="122" t="s">
        <v>269</v>
      </c>
      <c r="G18" s="122" t="s">
        <v>269</v>
      </c>
      <c r="H18" s="122" t="s">
        <v>269</v>
      </c>
      <c r="I18" s="122" t="s">
        <v>269</v>
      </c>
      <c r="J18" s="123" t="s">
        <v>270</v>
      </c>
      <c r="K18" s="124"/>
      <c r="L18" s="125" t="s">
        <v>271</v>
      </c>
      <c r="M18" s="125" t="s">
        <v>272</v>
      </c>
      <c r="N18" s="125" t="s">
        <v>273</v>
      </c>
      <c r="O18" s="125" t="s">
        <v>274</v>
      </c>
      <c r="P18" s="168" t="s">
        <v>187</v>
      </c>
    </row>
    <row r="19" spans="1:17" s="129" customFormat="1" ht="51" customHeight="1">
      <c r="A19" s="126">
        <v>1</v>
      </c>
      <c r="B19" s="127">
        <v>2</v>
      </c>
      <c r="C19" s="127">
        <v>3</v>
      </c>
      <c r="D19" s="126">
        <v>4</v>
      </c>
      <c r="E19" s="126">
        <v>5</v>
      </c>
      <c r="F19" s="126" t="s">
        <v>344</v>
      </c>
      <c r="G19" s="126">
        <v>7</v>
      </c>
      <c r="H19" s="126">
        <v>8</v>
      </c>
      <c r="I19" s="126" t="s">
        <v>338</v>
      </c>
      <c r="J19" s="126">
        <v>10</v>
      </c>
      <c r="K19" s="128" t="s">
        <v>346</v>
      </c>
      <c r="L19" s="314" t="s">
        <v>330</v>
      </c>
      <c r="M19" s="314" t="s">
        <v>331</v>
      </c>
      <c r="N19" s="313" t="s">
        <v>332</v>
      </c>
      <c r="O19" s="313" t="s">
        <v>333</v>
      </c>
      <c r="P19" s="168" t="e">
        <f>H25/(I25)</f>
        <v>#REF!</v>
      </c>
    </row>
    <row r="20" spans="1:17">
      <c r="A20" s="130" t="s">
        <v>226</v>
      </c>
      <c r="B20" s="131" t="e">
        <f>#REF!*1000</f>
        <v>#REF!</v>
      </c>
      <c r="C20" s="131">
        <v>0</v>
      </c>
      <c r="D20" s="131">
        <v>0</v>
      </c>
      <c r="E20" s="131">
        <v>0</v>
      </c>
      <c r="F20" s="131">
        <f>D20+E20</f>
        <v>0</v>
      </c>
      <c r="G20" s="131">
        <v>0</v>
      </c>
      <c r="H20" s="131">
        <v>0</v>
      </c>
      <c r="I20" s="131">
        <f>G20+H20</f>
        <v>0</v>
      </c>
      <c r="J20" s="131" t="e">
        <f>#REF!</f>
        <v>#REF!</v>
      </c>
      <c r="K20" s="132" t="e">
        <f>H20*$E$16</f>
        <v>#REF!</v>
      </c>
      <c r="L20" s="133">
        <f>C9*D20*12-C20</f>
        <v>0</v>
      </c>
      <c r="M20" s="133" t="e">
        <f>D9*G20-K20</f>
        <v>#REF!</v>
      </c>
      <c r="N20" s="134"/>
      <c r="O20" s="134"/>
    </row>
    <row r="21" spans="1:17">
      <c r="A21" s="130" t="s">
        <v>211</v>
      </c>
      <c r="B21" s="131" t="e">
        <f>#REF!*1000</f>
        <v>#REF!</v>
      </c>
      <c r="C21" s="131">
        <v>0</v>
      </c>
      <c r="D21" s="131">
        <v>0</v>
      </c>
      <c r="E21" s="131">
        <v>0</v>
      </c>
      <c r="F21" s="131">
        <f>D21+E21</f>
        <v>0</v>
      </c>
      <c r="G21" s="131">
        <v>0</v>
      </c>
      <c r="H21" s="131">
        <v>0</v>
      </c>
      <c r="I21" s="131">
        <f>G21+H21</f>
        <v>0</v>
      </c>
      <c r="J21" s="131" t="e">
        <f>#REF!</f>
        <v>#REF!</v>
      </c>
      <c r="K21" s="132" t="e">
        <f>H21*$E$16</f>
        <v>#REF!</v>
      </c>
      <c r="L21" s="133">
        <f>C10*D21*12-C21</f>
        <v>0</v>
      </c>
      <c r="M21" s="133" t="e">
        <f>D10*G21-K21</f>
        <v>#REF!</v>
      </c>
      <c r="N21" s="134"/>
      <c r="O21" s="134"/>
    </row>
    <row r="22" spans="1:17" s="320" customFormat="1" ht="26.4">
      <c r="A22" s="328" t="s">
        <v>348</v>
      </c>
      <c r="B22" s="2018" t="e">
        <f>#REF!*1000</f>
        <v>#REF!</v>
      </c>
      <c r="C22" s="549" t="e">
        <f>$B$22*$K$9*L11+269026.72</f>
        <v>#REF!</v>
      </c>
      <c r="D22" s="139" t="e">
        <f>#REF!</f>
        <v>#REF!</v>
      </c>
      <c r="E22" s="557" t="e">
        <f>#REF!*'С-Э и сет.расч.инд.межсет.2011'!L11</f>
        <v>#REF!</v>
      </c>
      <c r="F22" s="557" t="e">
        <f>D22+E22</f>
        <v>#REF!</v>
      </c>
      <c r="G22" s="136" t="e">
        <f>#REF!</f>
        <v>#REF!</v>
      </c>
      <c r="H22" s="136" t="e">
        <f>#REF!*'С-Э и сет.расч.инд.межсет.2011'!L11</f>
        <v>#REF!</v>
      </c>
      <c r="I22" s="136" t="e">
        <f>G22+H22</f>
        <v>#REF!</v>
      </c>
      <c r="J22" s="137" t="e">
        <f>#REF!</f>
        <v>#REF!</v>
      </c>
      <c r="K22" s="329" t="e">
        <f>H22*$E$16</f>
        <v>#REF!</v>
      </c>
      <c r="L22" s="138" t="e">
        <f>F33*1000-C22</f>
        <v>#REF!</v>
      </c>
      <c r="M22" s="138" t="e">
        <f>G33*1000-K22</f>
        <v>#REF!</v>
      </c>
      <c r="N22" s="140"/>
      <c r="O22" s="140"/>
    </row>
    <row r="23" spans="1:17" s="364" customFormat="1" ht="26.4">
      <c r="A23" s="328" t="s">
        <v>615</v>
      </c>
      <c r="B23" s="2019"/>
      <c r="C23" s="546" t="e">
        <f>$B$22*$K$9*M11</f>
        <v>#REF!</v>
      </c>
      <c r="D23" s="556" t="e">
        <f>#REF!</f>
        <v>#REF!</v>
      </c>
      <c r="E23" s="557" t="e">
        <f>#REF!*'С-Э и сет.расч.инд.межсет.2011'!M11</f>
        <v>#REF!</v>
      </c>
      <c r="F23" s="557" t="e">
        <f>D23+E23</f>
        <v>#REF!</v>
      </c>
      <c r="G23" s="136" t="e">
        <f>#REF!</f>
        <v>#REF!</v>
      </c>
      <c r="H23" s="136" t="e">
        <f>#REF!*M11</f>
        <v>#REF!</v>
      </c>
      <c r="I23" s="136" t="e">
        <f>G23+H23</f>
        <v>#REF!</v>
      </c>
      <c r="J23" s="137" t="e">
        <f>#REF!</f>
        <v>#REF!</v>
      </c>
      <c r="K23" s="329" t="e">
        <f>H23*$E$16</f>
        <v>#REF!</v>
      </c>
      <c r="L23" s="138" t="e">
        <f>C13*D23*12-C23</f>
        <v>#REF!</v>
      </c>
      <c r="M23" s="138" t="e">
        <f>K33*1000-K23</f>
        <v>#REF!</v>
      </c>
      <c r="N23" s="363"/>
      <c r="O23" s="363"/>
    </row>
    <row r="24" spans="1:17" s="166" customFormat="1">
      <c r="A24" s="316" t="s">
        <v>336</v>
      </c>
      <c r="B24" s="547" t="e">
        <f>#REF!*1000</f>
        <v>#REF!</v>
      </c>
      <c r="C24" s="548" t="e">
        <f>$B$24*K10</f>
        <v>#REF!</v>
      </c>
      <c r="D24" s="555" t="e">
        <f>#REF!</f>
        <v>#REF!</v>
      </c>
      <c r="E24" s="557" t="e">
        <f>#REF!</f>
        <v>#REF!</v>
      </c>
      <c r="F24" s="557" t="e">
        <f>D24+E24</f>
        <v>#REF!</v>
      </c>
      <c r="G24" s="136" t="e">
        <f>#REF!</f>
        <v>#REF!</v>
      </c>
      <c r="H24" s="136" t="e">
        <f>#REF!</f>
        <v>#REF!</v>
      </c>
      <c r="I24" s="136" t="e">
        <f>G24+H24</f>
        <v>#REF!</v>
      </c>
      <c r="J24" s="137" t="e">
        <f>#REF!</f>
        <v>#REF!</v>
      </c>
      <c r="K24" s="329" t="e">
        <f>H24*$E$16</f>
        <v>#REF!</v>
      </c>
      <c r="L24" s="317" t="e">
        <f>C12*D24*12-C24</f>
        <v>#REF!</v>
      </c>
      <c r="M24" s="317" t="e">
        <f>D12*G24-K24</f>
        <v>#REF!</v>
      </c>
      <c r="N24" s="318"/>
      <c r="O24" s="318"/>
    </row>
    <row r="25" spans="1:17">
      <c r="A25" s="135" t="s">
        <v>186</v>
      </c>
      <c r="B25" s="311" t="e">
        <f t="shared" ref="B25:I25" si="1">SUM(B20:B24)</f>
        <v>#REF!</v>
      </c>
      <c r="C25" s="311" t="e">
        <f t="shared" si="1"/>
        <v>#REF!</v>
      </c>
      <c r="D25" s="139" t="e">
        <f t="shared" si="1"/>
        <v>#REF!</v>
      </c>
      <c r="E25" s="362" t="e">
        <f t="shared" si="1"/>
        <v>#REF!</v>
      </c>
      <c r="F25" s="365" t="e">
        <f t="shared" si="1"/>
        <v>#REF!</v>
      </c>
      <c r="G25" s="139" t="e">
        <f t="shared" si="1"/>
        <v>#REF!</v>
      </c>
      <c r="H25" s="139" t="e">
        <f t="shared" si="1"/>
        <v>#REF!</v>
      </c>
      <c r="I25" s="139" t="e">
        <f t="shared" si="1"/>
        <v>#REF!</v>
      </c>
      <c r="J25" s="139"/>
      <c r="K25" s="140" t="e">
        <f>SUM(K20:K24)</f>
        <v>#REF!</v>
      </c>
      <c r="L25" s="141" t="e">
        <f>SUM(L20:L24)</f>
        <v>#REF!</v>
      </c>
      <c r="M25" s="138" t="e">
        <f>SUM(M20:M24)</f>
        <v>#REF!</v>
      </c>
      <c r="N25" s="326" t="e">
        <f>-L25/(($F$25+$D$22+$D$23)*12)</f>
        <v>#REF!</v>
      </c>
      <c r="O25" s="326" t="e">
        <f>-M25/($I$25+$G$22+$G$23)</f>
        <v>#REF!</v>
      </c>
      <c r="P25" s="142"/>
      <c r="Q25" s="143"/>
    </row>
    <row r="26" spans="1:17" s="101" customFormat="1">
      <c r="A26" s="144" t="s">
        <v>195</v>
      </c>
      <c r="B26" s="145" t="e">
        <f>#REF!*1000</f>
        <v>#REF!</v>
      </c>
      <c r="C26" s="145" t="e">
        <f>B26*(K8+K9+K10+K11+K12)</f>
        <v>#REF!</v>
      </c>
      <c r="D26" s="312" t="e">
        <f>#REF!+#REF!</f>
        <v>#REF!</v>
      </c>
      <c r="E26" s="361" t="e">
        <f>#REF!</f>
        <v>#REF!</v>
      </c>
      <c r="F26" s="366" t="e">
        <f>#REF!</f>
        <v>#REF!</v>
      </c>
      <c r="G26" s="145" t="e">
        <f>#REF!</f>
        <v>#REF!</v>
      </c>
      <c r="H26" s="321" t="e">
        <f>#REF!</f>
        <v>#REF!</v>
      </c>
      <c r="I26" s="321" t="e">
        <f>#REF!</f>
        <v>#REF!</v>
      </c>
      <c r="J26" s="145"/>
      <c r="K26" s="145" t="e">
        <f>#REF!*#REF!</f>
        <v>#REF!</v>
      </c>
      <c r="L26" s="4"/>
      <c r="P26" s="4"/>
    </row>
    <row r="27" spans="1:17" s="101" customFormat="1">
      <c r="A27" s="144"/>
      <c r="B27" s="145"/>
      <c r="C27" s="541"/>
      <c r="D27" s="541"/>
      <c r="E27" s="361"/>
      <c r="F27" s="366"/>
      <c r="G27" s="145"/>
      <c r="H27" s="321"/>
      <c r="I27" s="321"/>
      <c r="J27" s="145"/>
      <c r="K27" s="145"/>
      <c r="L27" s="4"/>
      <c r="N27" s="326"/>
      <c r="P27" s="4"/>
    </row>
    <row r="28" spans="1:17" s="98" customFormat="1">
      <c r="B28" s="541"/>
      <c r="C28" s="541"/>
      <c r="D28" s="541"/>
      <c r="E28" s="542"/>
      <c r="F28" s="173"/>
      <c r="H28" s="541"/>
    </row>
    <row r="29" spans="1:17" ht="39.6">
      <c r="A29" s="146" t="s">
        <v>617</v>
      </c>
      <c r="B29" s="147"/>
      <c r="C29" s="147"/>
      <c r="D29" s="148"/>
      <c r="E29" s="146" t="s">
        <v>618</v>
      </c>
      <c r="F29" s="147"/>
      <c r="G29" s="147"/>
      <c r="H29" s="148"/>
      <c r="I29" s="146" t="s">
        <v>619</v>
      </c>
      <c r="J29" s="147"/>
      <c r="K29" s="147"/>
      <c r="L29" s="148"/>
      <c r="M29" s="195" t="s">
        <v>277</v>
      </c>
    </row>
    <row r="30" spans="1:17" ht="52.8">
      <c r="A30" s="149"/>
      <c r="B30" s="150" t="s">
        <v>275</v>
      </c>
      <c r="C30" s="150" t="s">
        <v>276</v>
      </c>
      <c r="D30" s="150" t="s">
        <v>277</v>
      </c>
      <c r="E30" s="149"/>
      <c r="F30" s="150" t="s">
        <v>275</v>
      </c>
      <c r="G30" s="150" t="s">
        <v>276</v>
      </c>
      <c r="H30" s="150" t="s">
        <v>277</v>
      </c>
      <c r="I30" s="149"/>
      <c r="J30" s="150" t="s">
        <v>275</v>
      </c>
      <c r="K30" s="150" t="s">
        <v>276</v>
      </c>
      <c r="L30" s="150" t="s">
        <v>277</v>
      </c>
      <c r="M30" s="195"/>
    </row>
    <row r="31" spans="1:17" hidden="1">
      <c r="A31" s="151" t="s">
        <v>226</v>
      </c>
      <c r="B31" s="152"/>
      <c r="C31" s="152"/>
      <c r="D31" s="150"/>
      <c r="E31" s="151" t="s">
        <v>226</v>
      </c>
      <c r="F31" s="152"/>
      <c r="G31" s="152"/>
      <c r="H31" s="150"/>
      <c r="I31" s="151" t="s">
        <v>226</v>
      </c>
      <c r="J31" s="152"/>
      <c r="K31" s="152"/>
      <c r="L31" s="150"/>
      <c r="M31" s="195"/>
    </row>
    <row r="32" spans="1:17" hidden="1">
      <c r="A32" s="153" t="s">
        <v>211</v>
      </c>
      <c r="B32" s="154"/>
      <c r="C32" s="154"/>
      <c r="D32" s="154"/>
      <c r="E32" s="153" t="s">
        <v>211</v>
      </c>
      <c r="F32" s="154"/>
      <c r="G32" s="154"/>
      <c r="H32" s="154"/>
      <c r="I32" s="153" t="s">
        <v>211</v>
      </c>
      <c r="J32" s="154"/>
      <c r="K32" s="154"/>
      <c r="L32" s="154"/>
      <c r="M32" s="195"/>
    </row>
    <row r="33" spans="1:14">
      <c r="A33" s="325" t="s">
        <v>287</v>
      </c>
      <c r="B33" s="153"/>
      <c r="C33" s="153"/>
      <c r="D33" s="131">
        <f>B33+C33</f>
        <v>0</v>
      </c>
      <c r="E33" s="155" t="s">
        <v>253</v>
      </c>
      <c r="F33" s="156" t="e">
        <f>$F$38*$D$22*12/1000</f>
        <v>#REF!</v>
      </c>
      <c r="G33" s="156" t="e">
        <f>$G$38*$G$22/1000</f>
        <v>#REF!</v>
      </c>
      <c r="H33" s="195" t="e">
        <f>F33+G33</f>
        <v>#REF!</v>
      </c>
      <c r="I33" s="155" t="s">
        <v>253</v>
      </c>
      <c r="J33" s="156" t="e">
        <f>$J$38*$D$23*12/1000</f>
        <v>#REF!</v>
      </c>
      <c r="K33" s="156" t="e">
        <f>$K$38*$G$23/1000</f>
        <v>#REF!</v>
      </c>
      <c r="L33" s="195" t="e">
        <f>J33+K33</f>
        <v>#REF!</v>
      </c>
      <c r="M33" s="195" t="e">
        <f>D33+H33+L33</f>
        <v>#REF!</v>
      </c>
    </row>
    <row r="34" spans="1:14">
      <c r="A34" s="325" t="s">
        <v>507</v>
      </c>
      <c r="B34" s="153"/>
      <c r="C34" s="153"/>
      <c r="D34" s="131">
        <f>B34+C34</f>
        <v>0</v>
      </c>
      <c r="E34" s="153"/>
      <c r="F34" s="156"/>
      <c r="G34" s="156"/>
      <c r="H34" s="156"/>
      <c r="I34" s="153"/>
      <c r="J34" s="156"/>
      <c r="K34" s="156"/>
      <c r="L34" s="156"/>
      <c r="M34" s="195"/>
    </row>
    <row r="35" spans="1:14" ht="13.5" customHeight="1">
      <c r="A35" s="325" t="s">
        <v>506</v>
      </c>
      <c r="B35" s="155" t="e">
        <f>$C$12*$D$24*12/1000</f>
        <v>#REF!</v>
      </c>
      <c r="C35" s="153" t="e">
        <f>$D$12*$G$24/1000</f>
        <v>#REF!</v>
      </c>
      <c r="D35" s="156" t="e">
        <f>B35+C35</f>
        <v>#REF!</v>
      </c>
      <c r="E35" s="153" t="s">
        <v>215</v>
      </c>
      <c r="F35" s="156"/>
      <c r="G35" s="156"/>
      <c r="H35" s="156"/>
      <c r="I35" s="153" t="s">
        <v>215</v>
      </c>
      <c r="J35" s="156"/>
      <c r="K35" s="156"/>
      <c r="L35" s="156"/>
      <c r="M35" s="195" t="e">
        <f>D35+H35+L35</f>
        <v>#REF!</v>
      </c>
    </row>
    <row r="36" spans="1:14" ht="13.5" customHeight="1">
      <c r="A36" s="153" t="s">
        <v>186</v>
      </c>
      <c r="B36" s="156" t="e">
        <f>SUM(B33:B35)</f>
        <v>#REF!</v>
      </c>
      <c r="C36" s="156" t="e">
        <f>SUM(C33:C35)</f>
        <v>#REF!</v>
      </c>
      <c r="D36" s="194" t="e">
        <f>SUM(D33:D35)</f>
        <v>#REF!</v>
      </c>
      <c r="E36" s="153" t="s">
        <v>186</v>
      </c>
      <c r="F36" s="156" t="e">
        <f>SUM(F33:F35)</f>
        <v>#REF!</v>
      </c>
      <c r="G36" s="156" t="e">
        <f>SUM(G33:G35)</f>
        <v>#REF!</v>
      </c>
      <c r="H36" s="194" t="e">
        <f>SUM(H33:H35)</f>
        <v>#REF!</v>
      </c>
      <c r="I36" s="153" t="s">
        <v>186</v>
      </c>
      <c r="J36" s="156" t="e">
        <f>SUM(J33:J35)</f>
        <v>#REF!</v>
      </c>
      <c r="K36" s="156" t="e">
        <f>SUM(K33:K35)</f>
        <v>#REF!</v>
      </c>
      <c r="L36" s="194" t="e">
        <f>SUM(L33:L35)</f>
        <v>#REF!</v>
      </c>
      <c r="M36" s="194" t="e">
        <f>SUM(M33:M35)</f>
        <v>#REF!</v>
      </c>
    </row>
    <row r="37" spans="1:14" ht="13.8" thickBot="1">
      <c r="A37" s="157"/>
      <c r="B37" s="327" t="s">
        <v>349</v>
      </c>
      <c r="C37" s="327">
        <f>'пл.об расч.по инд.межсет.тар.11'!N23</f>
        <v>17138.600000000002</v>
      </c>
      <c r="D37" s="327" t="e">
        <f>D36-C37</f>
        <v>#REF!</v>
      </c>
      <c r="E37" s="98"/>
    </row>
    <row r="38" spans="1:14" ht="25.5" customHeight="1" thickTop="1" thickBot="1">
      <c r="A38" s="179" t="s">
        <v>609</v>
      </c>
      <c r="B38" s="177"/>
      <c r="C38" s="178"/>
      <c r="D38" s="550"/>
      <c r="E38" s="551" t="s">
        <v>347</v>
      </c>
      <c r="F38" s="552"/>
      <c r="G38" s="553"/>
      <c r="H38" s="565"/>
      <c r="I38" s="551" t="s">
        <v>620</v>
      </c>
      <c r="J38" s="552"/>
      <c r="K38" s="553"/>
      <c r="L38" s="565"/>
    </row>
    <row r="39" spans="1:14" ht="14.4" thickTop="1">
      <c r="A39" s="158"/>
      <c r="B39" s="159"/>
      <c r="C39" s="190" t="e">
        <f>O25*I25/1000</f>
        <v>#REF!</v>
      </c>
      <c r="D39" s="160" t="e">
        <f>B39+C39</f>
        <v>#REF!</v>
      </c>
      <c r="F39" s="338"/>
      <c r="G39" s="339" t="s">
        <v>345</v>
      </c>
      <c r="H39" s="338"/>
      <c r="I39" s="324"/>
      <c r="J39" s="338"/>
      <c r="K39" s="338"/>
      <c r="L39" s="338"/>
      <c r="M39" s="338"/>
      <c r="N39" s="338"/>
    </row>
    <row r="40" spans="1:14" ht="13.8">
      <c r="A40" s="343" t="s">
        <v>610</v>
      </c>
      <c r="B40" s="344"/>
      <c r="C40" s="344"/>
      <c r="D40" s="345"/>
      <c r="E40" s="98"/>
      <c r="F40" s="340" t="s">
        <v>351</v>
      </c>
      <c r="G40" s="338"/>
      <c r="H40" s="324"/>
      <c r="I40" s="324" t="s">
        <v>612</v>
      </c>
      <c r="J40" s="324" t="s">
        <v>613</v>
      </c>
      <c r="K40" s="338"/>
      <c r="L40" s="338"/>
      <c r="M40" s="338"/>
      <c r="N40" s="338"/>
    </row>
    <row r="41" spans="1:14" ht="27">
      <c r="A41" s="161" t="s">
        <v>611</v>
      </c>
      <c r="B41" s="162"/>
      <c r="C41" s="163"/>
      <c r="D41" s="163"/>
      <c r="E41" s="98"/>
      <c r="H41" s="98"/>
      <c r="I41" s="322"/>
      <c r="J41" s="322"/>
      <c r="K41" s="98"/>
      <c r="L41" s="98"/>
      <c r="M41" s="336"/>
    </row>
    <row r="42" spans="1:14" ht="27.75" customHeight="1">
      <c r="A42" s="2021" t="s">
        <v>278</v>
      </c>
      <c r="B42" s="2022"/>
      <c r="C42" s="2023"/>
      <c r="D42" s="164" t="e">
        <f>D36+H36+L36-D39</f>
        <v>#REF!</v>
      </c>
      <c r="E42" s="71"/>
      <c r="J42" s="322"/>
      <c r="K42" s="323"/>
      <c r="L42" s="337"/>
      <c r="M42" s="336"/>
    </row>
    <row r="43" spans="1:14" s="166" customFormat="1" ht="17.25" customHeight="1">
      <c r="A43" s="2015" t="s">
        <v>279</v>
      </c>
      <c r="B43" s="2016"/>
      <c r="C43" s="2017"/>
      <c r="D43" s="165" t="e">
        <f>#REF!</f>
        <v>#REF!</v>
      </c>
      <c r="E43" s="367" t="e">
        <f>K26/1000+C26/1000</f>
        <v>#REF!</v>
      </c>
      <c r="F43" s="182"/>
    </row>
    <row r="44" spans="1:14">
      <c r="I44" s="98"/>
    </row>
    <row r="45" spans="1:14">
      <c r="J45" s="98"/>
      <c r="K45" s="98"/>
    </row>
  </sheetData>
  <mergeCells count="7">
    <mergeCell ref="A43:C43"/>
    <mergeCell ref="B22:B23"/>
    <mergeCell ref="E5:E6"/>
    <mergeCell ref="C5:C6"/>
    <mergeCell ref="G8:G11"/>
    <mergeCell ref="B5:B8"/>
    <mergeCell ref="A42:C42"/>
  </mergeCells>
  <printOptions horizontalCentered="1"/>
  <pageMargins left="0.39370078740157483" right="0.39370078740157483" top="0" bottom="3.937007874015748E-2" header="0.11811023622047245" footer="3.937007874015748E-2"/>
  <pageSetup paperSize="9" scale="67" orientation="landscape" r:id="rId1"/>
  <headerFooter>
    <oddFooter>&amp;L&amp;8________________________________________________________________________
&amp;F&amp;A</oddFooter>
  </headerFooter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1"/>
  <sheetViews>
    <sheetView workbookViewId="0">
      <selection activeCell="K8" sqref="K8"/>
    </sheetView>
  </sheetViews>
  <sheetFormatPr defaultColWidth="9.109375" defaultRowHeight="14.4"/>
  <cols>
    <col min="1" max="1" width="9.109375" style="1166"/>
    <col min="2" max="2" width="13.33203125" style="1166" customWidth="1"/>
    <col min="3" max="3" width="8.5546875" style="1167" customWidth="1"/>
    <col min="4" max="4" width="13.33203125" style="1166" customWidth="1"/>
    <col min="5" max="5" width="8.5546875" style="1166" customWidth="1"/>
    <col min="6" max="6" width="13.33203125" style="1166" customWidth="1"/>
    <col min="7" max="7" width="8.5546875" style="1166" customWidth="1"/>
    <col min="8" max="16384" width="9.109375" style="1166"/>
  </cols>
  <sheetData>
    <row r="1" spans="1:17" ht="15.6">
      <c r="A1" s="1164" t="s">
        <v>1084</v>
      </c>
      <c r="B1" s="1164"/>
      <c r="C1" s="1165"/>
      <c r="D1" s="1164"/>
      <c r="E1" s="1164"/>
      <c r="F1" s="1164"/>
      <c r="G1" s="1164"/>
    </row>
    <row r="2" spans="1:17" ht="18.75" customHeight="1">
      <c r="A2" s="1164" t="s">
        <v>1085</v>
      </c>
      <c r="B2" s="1164"/>
      <c r="C2" s="1165"/>
      <c r="D2" s="1164"/>
      <c r="E2" s="1164"/>
      <c r="F2" s="1164"/>
      <c r="G2" s="1164"/>
    </row>
    <row r="3" spans="1:17" hidden="1"/>
    <row r="4" spans="1:17" s="1172" customFormat="1" ht="15.6" hidden="1">
      <c r="A4" s="1168" t="s">
        <v>203</v>
      </c>
      <c r="B4" s="1169"/>
      <c r="C4" s="1170"/>
      <c r="D4" s="1169"/>
      <c r="E4" s="1169"/>
      <c r="F4" s="1171"/>
      <c r="G4" s="1169"/>
      <c r="N4" s="1173"/>
      <c r="O4" s="1173"/>
      <c r="P4" s="1173"/>
    </row>
    <row r="5" spans="1:17" s="1172" customFormat="1" ht="15.75" hidden="1" customHeight="1">
      <c r="A5" s="1980" t="s">
        <v>1086</v>
      </c>
      <c r="B5" s="1174" t="s">
        <v>1087</v>
      </c>
      <c r="C5" s="1175"/>
      <c r="D5" s="1176"/>
      <c r="E5" s="1174"/>
      <c r="F5" s="1174" t="s">
        <v>1088</v>
      </c>
      <c r="G5" s="1174"/>
      <c r="H5" s="1980" t="s">
        <v>241</v>
      </c>
      <c r="O5" s="1173"/>
      <c r="P5" s="1173"/>
      <c r="Q5" s="1173"/>
    </row>
    <row r="6" spans="1:17" s="1172" customFormat="1" ht="69" hidden="1" customHeight="1">
      <c r="A6" s="1981"/>
      <c r="B6" s="1177" t="s">
        <v>243</v>
      </c>
      <c r="C6" s="1178" t="s">
        <v>1089</v>
      </c>
      <c r="D6" s="1177" t="s">
        <v>288</v>
      </c>
      <c r="E6" s="1179" t="s">
        <v>1089</v>
      </c>
      <c r="F6" s="1180" t="s">
        <v>245</v>
      </c>
      <c r="G6" s="1179" t="s">
        <v>1089</v>
      </c>
      <c r="H6" s="1982"/>
      <c r="N6" s="1173"/>
    </row>
    <row r="7" spans="1:17" s="1172" customFormat="1" ht="15.6" hidden="1">
      <c r="A7" s="1981"/>
      <c r="B7" s="1181" t="s">
        <v>1090</v>
      </c>
      <c r="C7" s="1182" t="s">
        <v>32</v>
      </c>
      <c r="D7" s="1181" t="s">
        <v>1091</v>
      </c>
      <c r="E7" s="1183" t="s">
        <v>32</v>
      </c>
      <c r="F7" s="1180"/>
      <c r="G7" s="1183" t="s">
        <v>32</v>
      </c>
      <c r="H7" s="1181" t="s">
        <v>353</v>
      </c>
      <c r="O7" s="1173"/>
      <c r="P7" s="1173"/>
      <c r="Q7" s="1173"/>
    </row>
    <row r="8" spans="1:17" s="1173" customFormat="1" ht="15.6" hidden="1">
      <c r="A8" s="1982"/>
      <c r="B8" s="1184" t="s">
        <v>44</v>
      </c>
      <c r="C8" s="1185"/>
      <c r="D8" s="1184" t="s">
        <v>249</v>
      </c>
      <c r="E8" s="1185"/>
      <c r="F8" s="1184" t="s">
        <v>249</v>
      </c>
      <c r="G8" s="1185"/>
      <c r="H8" s="1184" t="s">
        <v>1092</v>
      </c>
    </row>
    <row r="9" spans="1:17" s="1173" customFormat="1" ht="15.6" hidden="1">
      <c r="A9" s="1186" t="s">
        <v>226</v>
      </c>
      <c r="B9" s="1187">
        <v>124404</v>
      </c>
      <c r="C9" s="1185"/>
      <c r="D9" s="1187">
        <v>228.06</v>
      </c>
      <c r="E9" s="1185"/>
      <c r="F9" s="1187">
        <v>433</v>
      </c>
      <c r="G9" s="1185"/>
      <c r="H9" s="1188">
        <f>(B9*12/(F9-D9))</f>
        <v>7284.3173611788816</v>
      </c>
    </row>
    <row r="10" spans="1:17" s="1173" customFormat="1" ht="15.6" hidden="1">
      <c r="A10" s="1186" t="s">
        <v>211</v>
      </c>
      <c r="B10" s="1187">
        <v>166069</v>
      </c>
      <c r="C10" s="1185"/>
      <c r="D10" s="1187">
        <v>749.32</v>
      </c>
      <c r="E10" s="1185"/>
      <c r="F10" s="1187">
        <v>1022.95</v>
      </c>
      <c r="G10" s="1185"/>
      <c r="H10" s="1188">
        <f>(B10*12/(F10-D10))</f>
        <v>7282.9295033439321</v>
      </c>
    </row>
    <row r="11" spans="1:17" s="1173" customFormat="1" ht="15.6" hidden="1">
      <c r="A11" s="1186" t="s">
        <v>253</v>
      </c>
      <c r="B11" s="1187">
        <v>417747</v>
      </c>
      <c r="C11" s="1185"/>
      <c r="D11" s="1187">
        <v>810.58</v>
      </c>
      <c r="E11" s="1185"/>
      <c r="F11" s="1187">
        <v>1498.78</v>
      </c>
      <c r="G11" s="1185"/>
      <c r="H11" s="1188">
        <f>(B11*12/(F11-D11))</f>
        <v>7284.167393199652</v>
      </c>
    </row>
    <row r="12" spans="1:17" s="1173" customFormat="1" ht="15.6" hidden="1">
      <c r="A12" s="1186" t="s">
        <v>215</v>
      </c>
      <c r="B12" s="1187">
        <v>481133</v>
      </c>
      <c r="C12" s="1185"/>
      <c r="D12" s="1187">
        <v>1074.45</v>
      </c>
      <c r="E12" s="1185"/>
      <c r="F12" s="1187">
        <v>1903</v>
      </c>
      <c r="G12" s="1185"/>
      <c r="H12" s="1188">
        <f>(B12*12/(F12-D12))</f>
        <v>6968.3133184478911</v>
      </c>
    </row>
    <row r="13" spans="1:17" s="1173" customFormat="1" ht="21.75" hidden="1" customHeight="1">
      <c r="A13" s="1186" t="s">
        <v>352</v>
      </c>
      <c r="B13" s="1187"/>
      <c r="C13" s="1185"/>
      <c r="D13" s="1187"/>
      <c r="E13" s="1185"/>
      <c r="F13" s="1187"/>
      <c r="G13" s="1185"/>
      <c r="H13" s="1188" t="e">
        <f>(B13*12/(F13-D13))</f>
        <v>#DIV/0!</v>
      </c>
    </row>
    <row r="14" spans="1:17" s="1173" customFormat="1" ht="21.75" hidden="1" customHeight="1">
      <c r="A14" s="1189"/>
      <c r="B14" s="1190"/>
      <c r="C14" s="1191"/>
      <c r="D14" s="1190"/>
      <c r="E14" s="1191"/>
      <c r="F14" s="1190"/>
      <c r="G14" s="1191"/>
      <c r="H14" s="1192"/>
    </row>
    <row r="15" spans="1:17" s="1172" customFormat="1" ht="15.6" hidden="1">
      <c r="A15" s="1168" t="s">
        <v>204</v>
      </c>
      <c r="B15" s="1169"/>
      <c r="C15" s="1170"/>
      <c r="D15" s="1169"/>
      <c r="E15" s="1169"/>
      <c r="F15" s="1171"/>
      <c r="G15" s="1169"/>
      <c r="N15" s="1173"/>
      <c r="O15" s="1173"/>
      <c r="P15" s="1173"/>
    </row>
    <row r="16" spans="1:17" s="1172" customFormat="1" ht="15.75" hidden="1" customHeight="1">
      <c r="A16" s="1980" t="s">
        <v>1086</v>
      </c>
      <c r="B16" s="1174" t="s">
        <v>1087</v>
      </c>
      <c r="C16" s="1175"/>
      <c r="D16" s="1176"/>
      <c r="E16" s="1174"/>
      <c r="F16" s="1174" t="s">
        <v>1088</v>
      </c>
      <c r="G16" s="1174"/>
      <c r="H16" s="1980" t="s">
        <v>241</v>
      </c>
      <c r="O16" s="1173"/>
      <c r="P16" s="1173"/>
      <c r="Q16" s="1173"/>
    </row>
    <row r="17" spans="1:17" s="1172" customFormat="1" ht="69" hidden="1" customHeight="1">
      <c r="A17" s="1981"/>
      <c r="B17" s="1177" t="s">
        <v>243</v>
      </c>
      <c r="C17" s="1178" t="s">
        <v>1089</v>
      </c>
      <c r="D17" s="1177" t="s">
        <v>288</v>
      </c>
      <c r="E17" s="1179" t="s">
        <v>1089</v>
      </c>
      <c r="F17" s="1180" t="s">
        <v>245</v>
      </c>
      <c r="G17" s="1179" t="s">
        <v>1089</v>
      </c>
      <c r="H17" s="1982"/>
      <c r="N17" s="1173"/>
    </row>
    <row r="18" spans="1:17" s="1172" customFormat="1" ht="15.6" hidden="1">
      <c r="A18" s="1981"/>
      <c r="B18" s="1181" t="s">
        <v>1090</v>
      </c>
      <c r="C18" s="1182" t="s">
        <v>32</v>
      </c>
      <c r="D18" s="1181" t="s">
        <v>1091</v>
      </c>
      <c r="E18" s="1183" t="s">
        <v>32</v>
      </c>
      <c r="F18" s="1180"/>
      <c r="G18" s="1183" t="s">
        <v>32</v>
      </c>
      <c r="H18" s="1181" t="s">
        <v>353</v>
      </c>
      <c r="O18" s="1173"/>
      <c r="P18" s="1173"/>
      <c r="Q18" s="1173"/>
    </row>
    <row r="19" spans="1:17" s="1173" customFormat="1" ht="15.6" hidden="1">
      <c r="A19" s="1982"/>
      <c r="B19" s="1184" t="s">
        <v>44</v>
      </c>
      <c r="C19" s="1185"/>
      <c r="D19" s="1184" t="s">
        <v>249</v>
      </c>
      <c r="E19" s="1185"/>
      <c r="F19" s="1184" t="s">
        <v>249</v>
      </c>
      <c r="G19" s="1185"/>
      <c r="H19" s="1184" t="s">
        <v>1092</v>
      </c>
    </row>
    <row r="20" spans="1:17" s="1173" customFormat="1" ht="15.6" hidden="1">
      <c r="A20" s="1186" t="s">
        <v>226</v>
      </c>
      <c r="B20" s="1187">
        <v>300621.82</v>
      </c>
      <c r="C20" s="1185">
        <f>B20/B9-1</f>
        <v>1.4164964149062733</v>
      </c>
      <c r="D20" s="1187">
        <v>176.8</v>
      </c>
      <c r="E20" s="1185">
        <f t="shared" ref="C20:E23" si="0">D20/D9-1</f>
        <v>-0.22476541261071648</v>
      </c>
      <c r="F20" s="1187">
        <v>592.41</v>
      </c>
      <c r="G20" s="1185">
        <f>F20/F9-1</f>
        <v>0.36815242494226319</v>
      </c>
      <c r="H20" s="1188">
        <f>(B20*12/(F20-D20))</f>
        <v>8679.9206948822211</v>
      </c>
    </row>
    <row r="21" spans="1:17" s="1173" customFormat="1" ht="15.6" hidden="1">
      <c r="A21" s="1186" t="s">
        <v>211</v>
      </c>
      <c r="B21" s="1187">
        <v>490793.23</v>
      </c>
      <c r="C21" s="1185">
        <f t="shared" si="0"/>
        <v>1.9553572912464094</v>
      </c>
      <c r="D21" s="1187">
        <v>180</v>
      </c>
      <c r="E21" s="1185">
        <f t="shared" si="0"/>
        <v>-0.75978220253029416</v>
      </c>
      <c r="F21" s="1187">
        <v>969.48</v>
      </c>
      <c r="G21" s="1185">
        <f>F21/F10-1</f>
        <v>-5.2270394447431423E-2</v>
      </c>
      <c r="H21" s="1188">
        <f>(B21*12/(F21-D21))</f>
        <v>7459.9974160206712</v>
      </c>
    </row>
    <row r="22" spans="1:17" s="1173" customFormat="1" ht="15.6" hidden="1">
      <c r="A22" s="1186" t="s">
        <v>253</v>
      </c>
      <c r="B22" s="1187">
        <v>680321</v>
      </c>
      <c r="C22" s="1185">
        <f t="shared" si="0"/>
        <v>0.6285479010022812</v>
      </c>
      <c r="D22" s="1187">
        <v>210</v>
      </c>
      <c r="E22" s="1185">
        <f t="shared" si="0"/>
        <v>-0.74092625033926329</v>
      </c>
      <c r="F22" s="1187">
        <v>1441.35</v>
      </c>
      <c r="G22" s="1185">
        <f>F22/F11-1</f>
        <v>-3.8317831836560456E-2</v>
      </c>
      <c r="H22" s="1188">
        <f>(B22*12/(F22-D22))</f>
        <v>6630.0012181751745</v>
      </c>
    </row>
    <row r="23" spans="1:17" s="1173" customFormat="1" ht="15.6" hidden="1">
      <c r="A23" s="1186" t="s">
        <v>215</v>
      </c>
      <c r="B23" s="1187">
        <v>851305.82</v>
      </c>
      <c r="C23" s="1185">
        <f t="shared" si="0"/>
        <v>0.76937732394161262</v>
      </c>
      <c r="D23" s="1187">
        <v>432</v>
      </c>
      <c r="E23" s="1185">
        <f t="shared" si="0"/>
        <v>-0.59793382660896266</v>
      </c>
      <c r="F23" s="1187">
        <v>2296.17</v>
      </c>
      <c r="G23" s="1185">
        <f>F23/F12-1</f>
        <v>0.20660535995796114</v>
      </c>
      <c r="H23" s="1188">
        <f>(B23*12/(F23-D23))</f>
        <v>5480.0097845153605</v>
      </c>
    </row>
    <row r="24" spans="1:17" s="1173" customFormat="1" ht="21.75" hidden="1" customHeight="1">
      <c r="A24" s="1186" t="s">
        <v>352</v>
      </c>
      <c r="B24" s="1187">
        <v>116581.82</v>
      </c>
      <c r="C24" s="1185"/>
      <c r="D24" s="1187">
        <v>162.69999999999999</v>
      </c>
      <c r="E24" s="1185"/>
      <c r="F24" s="1187">
        <v>380.24</v>
      </c>
      <c r="G24" s="1185"/>
      <c r="H24" s="1188">
        <f>(B24*12/(F24-D24))</f>
        <v>6430.9177162820624</v>
      </c>
    </row>
    <row r="25" spans="1:17" s="1173" customFormat="1" ht="21.75" customHeight="1">
      <c r="A25" s="1189"/>
      <c r="B25" s="1190"/>
      <c r="C25" s="1191"/>
      <c r="D25" s="1190"/>
      <c r="E25" s="1190"/>
      <c r="F25" s="1193" t="s">
        <v>1093</v>
      </c>
      <c r="G25" s="1190"/>
      <c r="H25" s="1192"/>
    </row>
    <row r="26" spans="1:17" s="1172" customFormat="1" ht="15.6">
      <c r="A26" s="1194" t="s">
        <v>510</v>
      </c>
      <c r="B26" s="1195"/>
      <c r="C26" s="1196"/>
      <c r="D26" s="1195"/>
      <c r="E26" s="1195"/>
      <c r="F26" s="1197"/>
      <c r="G26" s="1195"/>
      <c r="H26" s="1198"/>
      <c r="J26" s="1199" t="s">
        <v>1094</v>
      </c>
      <c r="K26" s="1199"/>
      <c r="N26" s="1173"/>
      <c r="O26" s="1173"/>
      <c r="P26" s="1173"/>
    </row>
    <row r="27" spans="1:17" s="1172" customFormat="1" ht="15.75" customHeight="1">
      <c r="A27" s="1986" t="s">
        <v>1086</v>
      </c>
      <c r="B27" s="1200" t="s">
        <v>1087</v>
      </c>
      <c r="C27" s="1201"/>
      <c r="D27" s="1202"/>
      <c r="E27" s="1200"/>
      <c r="F27" s="1200" t="s">
        <v>1088</v>
      </c>
      <c r="G27" s="1200"/>
      <c r="H27" s="1986" t="s">
        <v>241</v>
      </c>
      <c r="O27" s="1173"/>
      <c r="P27" s="1173"/>
      <c r="Q27" s="1173"/>
    </row>
    <row r="28" spans="1:17" s="1172" customFormat="1" ht="69" customHeight="1">
      <c r="A28" s="2024"/>
      <c r="B28" s="1203" t="s">
        <v>243</v>
      </c>
      <c r="C28" s="1204" t="s">
        <v>1089</v>
      </c>
      <c r="D28" s="1203" t="s">
        <v>288</v>
      </c>
      <c r="E28" s="1205" t="s">
        <v>1089</v>
      </c>
      <c r="F28" s="1206" t="s">
        <v>245</v>
      </c>
      <c r="G28" s="1205" t="s">
        <v>1089</v>
      </c>
      <c r="H28" s="2025"/>
      <c r="J28" s="1207" t="s">
        <v>1095</v>
      </c>
      <c r="K28" s="1207"/>
      <c r="L28" s="1207"/>
      <c r="N28" s="1173"/>
    </row>
    <row r="29" spans="1:17" s="1172" customFormat="1" ht="15.6">
      <c r="A29" s="2024"/>
      <c r="B29" s="1208" t="s">
        <v>1090</v>
      </c>
      <c r="C29" s="1209" t="s">
        <v>32</v>
      </c>
      <c r="D29" s="1208" t="s">
        <v>1091</v>
      </c>
      <c r="E29" s="1206" t="s">
        <v>32</v>
      </c>
      <c r="F29" s="1206"/>
      <c r="G29" s="1206" t="s">
        <v>32</v>
      </c>
      <c r="H29" s="1208" t="s">
        <v>353</v>
      </c>
      <c r="J29" s="1210" t="s">
        <v>1096</v>
      </c>
      <c r="K29" s="1210"/>
      <c r="L29" s="1211" t="s">
        <v>1097</v>
      </c>
      <c r="O29" s="1173"/>
      <c r="P29" s="1173"/>
      <c r="Q29" s="1173"/>
    </row>
    <row r="30" spans="1:17" s="1172" customFormat="1" ht="15.6">
      <c r="A30" s="2025"/>
      <c r="B30" s="1206" t="s">
        <v>44</v>
      </c>
      <c r="C30" s="1209"/>
      <c r="D30" s="1206" t="s">
        <v>249</v>
      </c>
      <c r="E30" s="1206"/>
      <c r="F30" s="1206" t="s">
        <v>249</v>
      </c>
      <c r="G30" s="1206"/>
      <c r="H30" s="1206" t="s">
        <v>1092</v>
      </c>
      <c r="J30" s="1212" t="s">
        <v>1098</v>
      </c>
      <c r="K30" s="1213" t="s">
        <v>1099</v>
      </c>
      <c r="L30" s="1214"/>
      <c r="O30" s="1173"/>
      <c r="P30" s="1173"/>
      <c r="Q30" s="1173"/>
    </row>
    <row r="31" spans="1:17" s="1172" customFormat="1" ht="15.6">
      <c r="A31" s="1203" t="s">
        <v>226</v>
      </c>
      <c r="B31" s="1215">
        <v>364484.63</v>
      </c>
      <c r="C31" s="1216">
        <f>B31/B20-1</f>
        <v>0.2124357107544621</v>
      </c>
      <c r="D31" s="1215">
        <v>151.36000000000001</v>
      </c>
      <c r="E31" s="1216">
        <f>D31/D20-1</f>
        <v>-0.14389140271493206</v>
      </c>
      <c r="F31" s="1215">
        <v>671</v>
      </c>
      <c r="G31" s="1216">
        <f>F31/F20-1</f>
        <v>0.1326615013250958</v>
      </c>
      <c r="H31" s="1217">
        <f>(B31*12/(F31-D31))</f>
        <v>8417.0109306442937</v>
      </c>
      <c r="J31" s="1218">
        <f>B31/B9-1</f>
        <v>1.9298465483424971</v>
      </c>
      <c r="K31" s="1218">
        <f>D31/D9-1</f>
        <v>-0.33631500482329202</v>
      </c>
      <c r="L31" s="1218">
        <f>F31/F9-1</f>
        <v>0.54965357967667439</v>
      </c>
      <c r="N31" s="1218">
        <v>0.21461487820934821</v>
      </c>
      <c r="O31" s="1173"/>
      <c r="P31" s="1173"/>
      <c r="Q31" s="1173"/>
    </row>
    <row r="32" spans="1:17" s="1172" customFormat="1" ht="15.6">
      <c r="A32" s="1203" t="s">
        <v>211</v>
      </c>
      <c r="B32" s="1215">
        <v>684381.17</v>
      </c>
      <c r="C32" s="1216">
        <f t="shared" ref="C32:E35" si="1">B32/B21-1</f>
        <v>0.3944388963963501</v>
      </c>
      <c r="D32" s="1215">
        <v>162.12</v>
      </c>
      <c r="E32" s="1216">
        <f t="shared" si="1"/>
        <v>-9.9333333333333274E-2</v>
      </c>
      <c r="F32" s="1215">
        <v>1153.6500000000001</v>
      </c>
      <c r="G32" s="1216">
        <f>F32/F21-1</f>
        <v>0.18996781779923255</v>
      </c>
      <c r="H32" s="1217">
        <f>(B32*12/(F32-D32))</f>
        <v>8282.7287525339634</v>
      </c>
      <c r="J32" s="1218">
        <f>B32/B10-1</f>
        <v>3.1210651596625505</v>
      </c>
      <c r="K32" s="1218">
        <f>D32/D10-1</f>
        <v>-0.78364383707895158</v>
      </c>
      <c r="L32" s="1218">
        <f>F32/F10-1</f>
        <v>0.12776773058311752</v>
      </c>
      <c r="N32" s="1218">
        <v>0.24512109584519526</v>
      </c>
      <c r="O32" s="1173"/>
      <c r="P32" s="1173"/>
      <c r="Q32" s="1173"/>
    </row>
    <row r="33" spans="1:17" s="1172" customFormat="1" ht="15.6">
      <c r="A33" s="1203" t="s">
        <v>253</v>
      </c>
      <c r="B33" s="1215">
        <v>942948.34</v>
      </c>
      <c r="C33" s="1216">
        <f t="shared" si="1"/>
        <v>0.38603444550440158</v>
      </c>
      <c r="D33" s="1215">
        <v>414.16</v>
      </c>
      <c r="E33" s="1216">
        <f t="shared" si="1"/>
        <v>0.97219047619047627</v>
      </c>
      <c r="F33" s="1215">
        <v>1847.1</v>
      </c>
      <c r="G33" s="1216">
        <f>F33/F22-1</f>
        <v>0.28150692059527538</v>
      </c>
      <c r="H33" s="1217">
        <f>(B33*12/(F33-D33))</f>
        <v>7896.6181975518875</v>
      </c>
      <c r="J33" s="1218">
        <f>B33/B11-1</f>
        <v>1.2572234869430541</v>
      </c>
      <c r="K33" s="1218">
        <f>D33/D11-1</f>
        <v>-0.48905721828813931</v>
      </c>
      <c r="L33" s="1218">
        <f>F33/F11-1</f>
        <v>0.23240235391451702</v>
      </c>
      <c r="N33" s="1218">
        <v>0.35747736497034044</v>
      </c>
      <c r="O33" s="1173"/>
      <c r="P33" s="1173"/>
      <c r="Q33" s="1173"/>
    </row>
    <row r="34" spans="1:17" s="1172" customFormat="1" ht="15.6">
      <c r="A34" s="1203" t="s">
        <v>215</v>
      </c>
      <c r="B34" s="1215">
        <v>1640145.12</v>
      </c>
      <c r="C34" s="1216">
        <f t="shared" si="1"/>
        <v>0.92662270299056604</v>
      </c>
      <c r="D34" s="1215">
        <v>472.06</v>
      </c>
      <c r="E34" s="1216">
        <f t="shared" si="1"/>
        <v>9.273148148148147E-2</v>
      </c>
      <c r="F34" s="1215">
        <v>2747.68</v>
      </c>
      <c r="G34" s="1216">
        <f>F34/F23-1</f>
        <v>0.1966361375682113</v>
      </c>
      <c r="H34" s="1217">
        <f>(B34*12/(F34-D34))</f>
        <v>8648.9578400611717</v>
      </c>
      <c r="J34" s="1218">
        <f>B34/B12-1</f>
        <v>2.4089225224626043</v>
      </c>
      <c r="K34" s="1218">
        <f>D34/D12-1</f>
        <v>-0.56064963469682172</v>
      </c>
      <c r="L34" s="1218">
        <f>F34/F12-1</f>
        <v>0.44386757750919581</v>
      </c>
      <c r="N34" s="1218">
        <v>0.32037262049412729</v>
      </c>
      <c r="O34" s="1173"/>
      <c r="P34" s="1173"/>
      <c r="Q34" s="1173"/>
    </row>
    <row r="35" spans="1:17" s="1172" customFormat="1" ht="21.75" customHeight="1">
      <c r="A35" s="1203" t="s">
        <v>352</v>
      </c>
      <c r="B35" s="1215">
        <v>133702.84</v>
      </c>
      <c r="C35" s="1216">
        <f t="shared" si="1"/>
        <v>0.14685840382316884</v>
      </c>
      <c r="D35" s="1215">
        <v>150</v>
      </c>
      <c r="E35" s="1216">
        <f t="shared" si="1"/>
        <v>-7.8057775046097011E-2</v>
      </c>
      <c r="F35" s="1215">
        <v>437.28</v>
      </c>
      <c r="G35" s="1216">
        <f>F35/F24-1</f>
        <v>0.15001051967178625</v>
      </c>
      <c r="H35" s="1217">
        <f>(B35*12/(F35-D35))</f>
        <v>5584.9139515455308</v>
      </c>
      <c r="J35" s="1207"/>
      <c r="K35" s="1207"/>
      <c r="L35" s="1207"/>
      <c r="N35" s="1218">
        <v>-0.3810225120976225</v>
      </c>
      <c r="O35" s="1173"/>
      <c r="P35" s="1173"/>
      <c r="Q35" s="1173"/>
    </row>
    <row r="37" spans="1:17">
      <c r="A37" s="1168" t="s">
        <v>631</v>
      </c>
      <c r="B37" s="1169"/>
      <c r="C37" s="1170"/>
      <c r="D37" s="1169"/>
      <c r="E37" s="1169"/>
      <c r="F37" s="1171"/>
      <c r="G37" s="1169"/>
    </row>
    <row r="38" spans="1:17" ht="18.75" customHeight="1">
      <c r="A38" s="1980" t="s">
        <v>1086</v>
      </c>
      <c r="B38" s="1174" t="s">
        <v>1087</v>
      </c>
      <c r="C38" s="1175"/>
      <c r="D38" s="1174"/>
      <c r="E38" s="1174"/>
      <c r="F38" s="1174" t="s">
        <v>1088</v>
      </c>
      <c r="G38" s="1174"/>
      <c r="H38" s="1980" t="s">
        <v>241</v>
      </c>
    </row>
    <row r="39" spans="1:17" ht="66">
      <c r="A39" s="1981"/>
      <c r="B39" s="1177" t="s">
        <v>243</v>
      </c>
      <c r="C39" s="1178" t="s">
        <v>1089</v>
      </c>
      <c r="D39" s="1177" t="s">
        <v>288</v>
      </c>
      <c r="E39" s="1179" t="s">
        <v>1089</v>
      </c>
      <c r="F39" s="1180" t="s">
        <v>245</v>
      </c>
      <c r="G39" s="1179" t="s">
        <v>1089</v>
      </c>
      <c r="H39" s="1982"/>
    </row>
    <row r="40" spans="1:17" ht="15.6">
      <c r="A40" s="1981"/>
      <c r="B40" s="1181" t="s">
        <v>1090</v>
      </c>
      <c r="C40" s="1182" t="s">
        <v>32</v>
      </c>
      <c r="D40" s="1181" t="s">
        <v>1091</v>
      </c>
      <c r="E40" s="1183" t="s">
        <v>32</v>
      </c>
      <c r="F40" s="1180"/>
      <c r="G40" s="1219"/>
      <c r="H40" s="1181" t="s">
        <v>353</v>
      </c>
    </row>
    <row r="41" spans="1:17">
      <c r="A41" s="1982"/>
      <c r="B41" s="1180" t="s">
        <v>44</v>
      </c>
      <c r="C41" s="1182"/>
      <c r="D41" s="1180" t="s">
        <v>249</v>
      </c>
      <c r="E41" s="1183"/>
      <c r="F41" s="1180" t="s">
        <v>249</v>
      </c>
      <c r="G41" s="1183" t="s">
        <v>32</v>
      </c>
      <c r="H41" s="1180" t="s">
        <v>1092</v>
      </c>
    </row>
    <row r="42" spans="1:17">
      <c r="A42" s="1186" t="s">
        <v>226</v>
      </c>
      <c r="B42" s="1187">
        <v>427956.36</v>
      </c>
      <c r="C42" s="1185">
        <f>B42/B31-1</f>
        <v>0.17414103305261452</v>
      </c>
      <c r="D42" s="1187">
        <v>179.28</v>
      </c>
      <c r="E42" s="1185">
        <f>D42/D31-1</f>
        <v>0.18446088794925997</v>
      </c>
      <c r="F42" s="1187">
        <v>789.41</v>
      </c>
      <c r="G42" s="1185">
        <f>F42/F31-1</f>
        <v>0.17646795827123696</v>
      </c>
      <c r="H42" s="1188">
        <f>(B42*12/(F42-D42))</f>
        <v>8417.0198482290671</v>
      </c>
    </row>
    <row r="43" spans="1:17">
      <c r="A43" s="1186" t="s">
        <v>211</v>
      </c>
      <c r="B43" s="1187">
        <v>781756.21</v>
      </c>
      <c r="C43" s="1185">
        <f t="shared" ref="C43:E46" si="2">B43/B32-1</f>
        <v>0.14228188072445058</v>
      </c>
      <c r="D43" s="1187">
        <v>191.71</v>
      </c>
      <c r="E43" s="1185">
        <f t="shared" si="2"/>
        <v>0.18251912163829265</v>
      </c>
      <c r="F43" s="1187">
        <v>1324.32</v>
      </c>
      <c r="G43" s="1185">
        <f>F43/F32-1</f>
        <v>0.14793914965544119</v>
      </c>
      <c r="H43" s="1188">
        <f>(B43*12/(F43-D43))</f>
        <v>8282.7050087850184</v>
      </c>
    </row>
    <row r="44" spans="1:17">
      <c r="A44" s="1186" t="s">
        <v>253</v>
      </c>
      <c r="B44" s="1187">
        <v>1110334.72</v>
      </c>
      <c r="C44" s="1185">
        <f t="shared" si="2"/>
        <v>0.17751383919929276</v>
      </c>
      <c r="D44" s="1187">
        <v>469.5</v>
      </c>
      <c r="E44" s="1185">
        <f t="shared" si="2"/>
        <v>0.13361985706007329</v>
      </c>
      <c r="F44" s="1187">
        <v>2146.56</v>
      </c>
      <c r="G44" s="1185">
        <f>F44/F33-1</f>
        <v>0.16212441123923993</v>
      </c>
      <c r="H44" s="1188">
        <f>(B44*12/(F44-D44))</f>
        <v>7944.8658008658012</v>
      </c>
    </row>
    <row r="45" spans="1:17">
      <c r="A45" s="1186" t="s">
        <v>215</v>
      </c>
      <c r="B45" s="1187">
        <v>2019526.48</v>
      </c>
      <c r="C45" s="1185">
        <f t="shared" si="2"/>
        <v>0.23130962947961575</v>
      </c>
      <c r="D45" s="1187">
        <v>535.79999999999995</v>
      </c>
      <c r="E45" s="1185">
        <f t="shared" si="2"/>
        <v>0.13502520865991596</v>
      </c>
      <c r="F45" s="1187">
        <v>3325.91</v>
      </c>
      <c r="G45" s="1185">
        <f>F45/F34-1</f>
        <v>0.21044299190589877</v>
      </c>
      <c r="H45" s="1188">
        <f>(B45*12/(F45-D45))</f>
        <v>8685.7929472314718</v>
      </c>
    </row>
    <row r="46" spans="1:17" ht="27">
      <c r="A46" s="1186" t="s">
        <v>352</v>
      </c>
      <c r="B46" s="1187">
        <v>22308.959999999999</v>
      </c>
      <c r="C46" s="1185">
        <f t="shared" si="2"/>
        <v>-0.83314520469423092</v>
      </c>
      <c r="D46" s="1187">
        <v>210.28899999999999</v>
      </c>
      <c r="E46" s="1185">
        <f t="shared" si="2"/>
        <v>0.40192666666666654</v>
      </c>
      <c r="F46" s="1187">
        <v>258.20999999999998</v>
      </c>
      <c r="G46" s="1185">
        <f>F46/F35-1</f>
        <v>-0.40950878155872672</v>
      </c>
      <c r="H46" s="1188">
        <f>(B46*12/(F46-D46))</f>
        <v>5586.4343398510064</v>
      </c>
    </row>
    <row r="48" spans="1:17">
      <c r="A48" s="1168" t="s">
        <v>1100</v>
      </c>
      <c r="B48" s="1169"/>
      <c r="C48" s="1170"/>
      <c r="D48" s="1169"/>
      <c r="E48" s="1169"/>
      <c r="F48" s="1171"/>
      <c r="G48" s="1169"/>
    </row>
    <row r="49" spans="1:8" ht="18.75" customHeight="1">
      <c r="A49" s="1980" t="s">
        <v>1086</v>
      </c>
      <c r="B49" s="1174" t="s">
        <v>1087</v>
      </c>
      <c r="C49" s="1175"/>
      <c r="D49" s="1174"/>
      <c r="E49" s="1174"/>
      <c r="F49" s="1174" t="s">
        <v>1088</v>
      </c>
      <c r="G49" s="1174"/>
      <c r="H49" s="1980" t="s">
        <v>241</v>
      </c>
    </row>
    <row r="50" spans="1:8" ht="66">
      <c r="A50" s="1981"/>
      <c r="B50" s="1177" t="s">
        <v>243</v>
      </c>
      <c r="C50" s="1178" t="s">
        <v>1089</v>
      </c>
      <c r="D50" s="1177" t="s">
        <v>288</v>
      </c>
      <c r="E50" s="1179" t="s">
        <v>1089</v>
      </c>
      <c r="F50" s="1180" t="s">
        <v>245</v>
      </c>
      <c r="G50" s="1179" t="s">
        <v>1089</v>
      </c>
      <c r="H50" s="1982"/>
    </row>
    <row r="51" spans="1:8" ht="15.6">
      <c r="A51" s="1981"/>
      <c r="B51" s="1181" t="s">
        <v>1090</v>
      </c>
      <c r="C51" s="1182" t="s">
        <v>32</v>
      </c>
      <c r="D51" s="1181" t="s">
        <v>1091</v>
      </c>
      <c r="E51" s="1183" t="s">
        <v>32</v>
      </c>
      <c r="F51" s="1180"/>
      <c r="G51" s="1219"/>
      <c r="H51" s="1181" t="s">
        <v>353</v>
      </c>
    </row>
    <row r="52" spans="1:8">
      <c r="A52" s="1982"/>
      <c r="B52" s="1180" t="s">
        <v>44</v>
      </c>
      <c r="C52" s="1182"/>
      <c r="D52" s="1180" t="s">
        <v>249</v>
      </c>
      <c r="E52" s="1183"/>
      <c r="F52" s="1180" t="s">
        <v>249</v>
      </c>
      <c r="G52" s="1183" t="s">
        <v>32</v>
      </c>
      <c r="H52" s="1180" t="s">
        <v>1092</v>
      </c>
    </row>
    <row r="53" spans="1:8">
      <c r="A53" s="1186" t="s">
        <v>226</v>
      </c>
      <c r="B53" s="1187">
        <v>465350.61</v>
      </c>
      <c r="C53" s="1185">
        <f>B53/B42-1</f>
        <v>8.7378652346701946E-2</v>
      </c>
      <c r="D53" s="1187">
        <v>194.95</v>
      </c>
      <c r="E53" s="1185">
        <f>D53/D42-1</f>
        <v>8.740517626059785E-2</v>
      </c>
      <c r="F53" s="1187">
        <v>858.39</v>
      </c>
      <c r="G53" s="1185">
        <f>F53/F42-1</f>
        <v>8.7381715458380249E-2</v>
      </c>
      <c r="H53" s="1188">
        <f>(B53*12/(F53-D53))</f>
        <v>8417.0494995779572</v>
      </c>
    </row>
    <row r="54" spans="1:8">
      <c r="A54" s="1186" t="s">
        <v>211</v>
      </c>
      <c r="B54" s="1187">
        <v>850350.61</v>
      </c>
      <c r="C54" s="1185">
        <f>B54/B43-1</f>
        <v>8.7743978394491995E-2</v>
      </c>
      <c r="D54" s="1187">
        <v>208.46</v>
      </c>
      <c r="E54" s="1185">
        <f>D54/D43-1</f>
        <v>8.7371550779823615E-2</v>
      </c>
      <c r="F54" s="1187">
        <v>1440.03</v>
      </c>
      <c r="G54" s="1185">
        <f>F54/F43-1</f>
        <v>8.7373142442914054E-2</v>
      </c>
      <c r="H54" s="1188">
        <f>(B54*12/(F54-D54))</f>
        <v>8285.5276760557663</v>
      </c>
    </row>
    <row r="55" spans="1:8">
      <c r="A55" s="1186" t="s">
        <v>253</v>
      </c>
      <c r="B55" s="1187">
        <v>1207354.26</v>
      </c>
      <c r="C55" s="1185">
        <f>B55/B44-1</f>
        <v>8.7378642000855322E-2</v>
      </c>
      <c r="D55" s="1187">
        <v>519.6</v>
      </c>
      <c r="E55" s="1185">
        <f>D55/D44-1</f>
        <v>0.10670926517571888</v>
      </c>
      <c r="F55" s="1187">
        <v>2334.12</v>
      </c>
      <c r="G55" s="1185">
        <f>F55/F44-1</f>
        <v>8.7377012522361408E-2</v>
      </c>
      <c r="H55" s="1188">
        <f>(B55*12/(F55-D55))</f>
        <v>7984.6191389458372</v>
      </c>
    </row>
    <row r="56" spans="1:8">
      <c r="A56" s="1186" t="s">
        <v>215</v>
      </c>
      <c r="B56" s="1187">
        <v>2195989.96</v>
      </c>
      <c r="C56" s="1185">
        <f>B56/B45-1</f>
        <v>8.7378641353590858E-2</v>
      </c>
      <c r="D56" s="1187">
        <v>593.1</v>
      </c>
      <c r="E56" s="1185">
        <f>D56/D45-1</f>
        <v>0.1069428891377382</v>
      </c>
      <c r="F56" s="1187">
        <v>3616.52</v>
      </c>
      <c r="G56" s="1185">
        <f>F56/F45-1</f>
        <v>8.7377589892690954E-2</v>
      </c>
      <c r="H56" s="1188">
        <f>(B56*12/(F56-D56))</f>
        <v>8715.917576783906</v>
      </c>
    </row>
    <row r="57" spans="1:8" ht="27">
      <c r="A57" s="1186" t="s">
        <v>352</v>
      </c>
      <c r="B57" s="1187">
        <v>24258.29</v>
      </c>
      <c r="C57" s="1185">
        <f>B57/B46-1</f>
        <v>8.7378793094792462E-2</v>
      </c>
      <c r="D57" s="1187">
        <v>228.65</v>
      </c>
      <c r="E57" s="1185">
        <f>D57/D46-1</f>
        <v>8.7313173775138031E-2</v>
      </c>
      <c r="F57" s="1187">
        <v>280.77</v>
      </c>
      <c r="G57" s="1185">
        <f>F57/F46-1</f>
        <v>8.7370744742651274E-2</v>
      </c>
      <c r="H57" s="1188">
        <f>(B57*12/(F57-D57))</f>
        <v>5585.1780506523428</v>
      </c>
    </row>
    <row r="60" spans="1:8">
      <c r="A60" s="1168" t="s">
        <v>1101</v>
      </c>
      <c r="B60" s="1169"/>
      <c r="C60" s="1170"/>
      <c r="D60" s="1169"/>
      <c r="E60" s="1169"/>
      <c r="F60" s="1171"/>
      <c r="G60" s="1169"/>
    </row>
    <row r="61" spans="1:8" ht="18.75" customHeight="1">
      <c r="A61" s="1980" t="s">
        <v>1086</v>
      </c>
      <c r="B61" s="1174" t="s">
        <v>1087</v>
      </c>
      <c r="C61" s="1175"/>
      <c r="D61" s="1174"/>
      <c r="E61" s="1174"/>
      <c r="F61" s="1174" t="s">
        <v>1088</v>
      </c>
      <c r="G61" s="1174"/>
      <c r="H61" s="1980" t="s">
        <v>241</v>
      </c>
    </row>
    <row r="62" spans="1:8" ht="66">
      <c r="A62" s="1981"/>
      <c r="B62" s="1177" t="s">
        <v>243</v>
      </c>
      <c r="C62" s="1178" t="s">
        <v>1089</v>
      </c>
      <c r="D62" s="1177" t="s">
        <v>288</v>
      </c>
      <c r="E62" s="1179" t="s">
        <v>1089</v>
      </c>
      <c r="F62" s="1180" t="s">
        <v>245</v>
      </c>
      <c r="G62" s="1179" t="s">
        <v>1089</v>
      </c>
      <c r="H62" s="1982"/>
    </row>
    <row r="63" spans="1:8" ht="15.6">
      <c r="A63" s="1981"/>
      <c r="B63" s="1181" t="s">
        <v>1090</v>
      </c>
      <c r="C63" s="1182" t="s">
        <v>32</v>
      </c>
      <c r="D63" s="1181" t="s">
        <v>1091</v>
      </c>
      <c r="E63" s="1183" t="s">
        <v>32</v>
      </c>
      <c r="F63" s="1180"/>
      <c r="G63" s="1219"/>
      <c r="H63" s="1181" t="s">
        <v>353</v>
      </c>
    </row>
    <row r="64" spans="1:8">
      <c r="A64" s="1982"/>
      <c r="B64" s="1180" t="s">
        <v>44</v>
      </c>
      <c r="C64" s="1182"/>
      <c r="D64" s="1180" t="s">
        <v>249</v>
      </c>
      <c r="E64" s="1183"/>
      <c r="F64" s="1180" t="s">
        <v>249</v>
      </c>
      <c r="G64" s="1183" t="s">
        <v>32</v>
      </c>
      <c r="H64" s="1180" t="s">
        <v>1092</v>
      </c>
    </row>
    <row r="65" spans="1:8">
      <c r="A65" s="1186" t="s">
        <v>226</v>
      </c>
      <c r="B65" s="1187">
        <v>556235.52000000002</v>
      </c>
      <c r="C65" s="1185">
        <f>B65/B53-1</f>
        <v>0.19530416001818507</v>
      </c>
      <c r="D65" s="1187">
        <v>233.02</v>
      </c>
      <c r="E65" s="1185">
        <f>D65/D53-1</f>
        <v>0.19528084124134404</v>
      </c>
      <c r="F65" s="1187">
        <v>1026.03</v>
      </c>
      <c r="G65" s="1185">
        <f>F65/F53-1</f>
        <v>0.1952958445461852</v>
      </c>
      <c r="H65" s="1188">
        <f>(B65*12/(F65-D65))</f>
        <v>8417.0770103781797</v>
      </c>
    </row>
    <row r="66" spans="1:8">
      <c r="A66" s="1186" t="s">
        <v>211</v>
      </c>
      <c r="B66" s="1187">
        <v>1016086.23</v>
      </c>
      <c r="C66" s="1185">
        <f>B66/B54-1</f>
        <v>0.19490268843342151</v>
      </c>
      <c r="D66" s="1187">
        <v>249.17</v>
      </c>
      <c r="E66" s="1185">
        <f>D66/D54-1</f>
        <v>0.19528926412741043</v>
      </c>
      <c r="F66" s="1187">
        <v>1721.28</v>
      </c>
      <c r="G66" s="1185">
        <f>F66/F54-1</f>
        <v>0.1953084310743527</v>
      </c>
      <c r="H66" s="1188">
        <f>(B66*12/(F66-D66))</f>
        <v>8282.69270638743</v>
      </c>
    </row>
    <row r="67" spans="1:8">
      <c r="A67" s="1186" t="s">
        <v>253</v>
      </c>
      <c r="B67" s="1187">
        <v>1443155.57</v>
      </c>
      <c r="C67" s="1185">
        <f>B67/B55-1</f>
        <v>0.19530416035472475</v>
      </c>
      <c r="D67" s="1187">
        <v>600.1</v>
      </c>
      <c r="E67" s="1185">
        <f>D67/D55-1</f>
        <v>0.15492686682063117</v>
      </c>
      <c r="F67" s="1187">
        <v>2789.99</v>
      </c>
      <c r="G67" s="1185">
        <f>F67/F55-1</f>
        <v>0.19530701077922297</v>
      </c>
      <c r="H67" s="1188">
        <f>(B67*12/(F67-D67))</f>
        <v>7908.0989638748979</v>
      </c>
    </row>
    <row r="68" spans="1:8">
      <c r="A68" s="1186" t="s">
        <v>215</v>
      </c>
      <c r="B68" s="1187">
        <v>2624875.9300000002</v>
      </c>
      <c r="C68" s="1185">
        <f>B68/B56-1</f>
        <v>0.19530415794797173</v>
      </c>
      <c r="D68" s="1187">
        <v>684.4</v>
      </c>
      <c r="E68" s="1185">
        <f>D68/D56-1</f>
        <v>0.15393694149384585</v>
      </c>
      <c r="F68" s="1187">
        <v>4322.84</v>
      </c>
      <c r="G68" s="1185">
        <f>F68/F56-1</f>
        <v>0.19530377268755594</v>
      </c>
      <c r="H68" s="1188">
        <f>(B68*12/(F68-D68))</f>
        <v>8657.1473378700775</v>
      </c>
    </row>
    <row r="69" spans="1:8" ht="27">
      <c r="A69" s="1186" t="s">
        <v>352</v>
      </c>
      <c r="B69" s="1187">
        <v>28996.04</v>
      </c>
      <c r="C69" s="1185">
        <f>B69/B57-1</f>
        <v>0.19530436811498264</v>
      </c>
      <c r="D69" s="1187">
        <v>273.31</v>
      </c>
      <c r="E69" s="1185">
        <f>D69/D57-1</f>
        <v>0.19532035862672203</v>
      </c>
      <c r="F69" s="1187">
        <v>335.61</v>
      </c>
      <c r="G69" s="1185">
        <f>F69/F57-1</f>
        <v>0.19532001282188283</v>
      </c>
      <c r="H69" s="1188">
        <f>(B69*12/(F69-D69))</f>
        <v>5585.1120385232734</v>
      </c>
    </row>
    <row r="72" spans="1:8">
      <c r="A72" s="1168" t="s">
        <v>1102</v>
      </c>
      <c r="B72" s="1169"/>
      <c r="C72" s="1170"/>
      <c r="D72" s="1169"/>
      <c r="E72" s="1169"/>
      <c r="F72" s="1171"/>
      <c r="G72" s="1169"/>
    </row>
    <row r="73" spans="1:8" ht="18.75" customHeight="1">
      <c r="A73" s="1980" t="s">
        <v>1086</v>
      </c>
      <c r="B73" s="1174" t="s">
        <v>1087</v>
      </c>
      <c r="C73" s="1175"/>
      <c r="D73" s="1174"/>
      <c r="E73" s="1174"/>
      <c r="F73" s="1174" t="s">
        <v>1088</v>
      </c>
      <c r="G73" s="1174"/>
      <c r="H73" s="1980" t="s">
        <v>241</v>
      </c>
    </row>
    <row r="74" spans="1:8" ht="66">
      <c r="A74" s="1981"/>
      <c r="B74" s="1177" t="s">
        <v>243</v>
      </c>
      <c r="C74" s="1178" t="s">
        <v>1089</v>
      </c>
      <c r="D74" s="1177" t="s">
        <v>288</v>
      </c>
      <c r="E74" s="1179" t="s">
        <v>1089</v>
      </c>
      <c r="F74" s="1180" t="s">
        <v>245</v>
      </c>
      <c r="G74" s="1179" t="s">
        <v>1089</v>
      </c>
      <c r="H74" s="1982"/>
    </row>
    <row r="75" spans="1:8" ht="15.6">
      <c r="A75" s="1981"/>
      <c r="B75" s="1181" t="s">
        <v>1090</v>
      </c>
      <c r="C75" s="1182" t="s">
        <v>32</v>
      </c>
      <c r="D75" s="1181" t="s">
        <v>1091</v>
      </c>
      <c r="E75" s="1183" t="s">
        <v>32</v>
      </c>
      <c r="F75" s="1180"/>
      <c r="G75" s="1219"/>
      <c r="H75" s="1181" t="s">
        <v>353</v>
      </c>
    </row>
    <row r="76" spans="1:8">
      <c r="A76" s="1982"/>
      <c r="B76" s="1180" t="s">
        <v>44</v>
      </c>
      <c r="C76" s="1182"/>
      <c r="D76" s="1180" t="s">
        <v>249</v>
      </c>
      <c r="E76" s="1183"/>
      <c r="F76" s="1180" t="s">
        <v>249</v>
      </c>
      <c r="G76" s="1183" t="s">
        <v>32</v>
      </c>
      <c r="H76" s="1180" t="s">
        <v>1092</v>
      </c>
    </row>
    <row r="77" spans="1:8">
      <c r="A77" s="1186" t="s">
        <v>226</v>
      </c>
      <c r="B77" s="1187">
        <v>604838.62</v>
      </c>
      <c r="C77" s="1185">
        <f>B77/B65-1</f>
        <v>8.7378634144040346E-2</v>
      </c>
      <c r="D77" s="1187">
        <v>253.38</v>
      </c>
      <c r="E77" s="1185">
        <f>D77/D65-1</f>
        <v>8.7374474294051874E-2</v>
      </c>
      <c r="F77" s="1187">
        <v>1115.69</v>
      </c>
      <c r="G77" s="1185">
        <f>F77/F65-1</f>
        <v>8.73853591025604E-2</v>
      </c>
      <c r="H77" s="1188">
        <f>(B77*12/(F77-D77))</f>
        <v>8417.0001971448764</v>
      </c>
    </row>
    <row r="78" spans="1:8">
      <c r="A78" s="1186" t="s">
        <v>211</v>
      </c>
      <c r="B78" s="1187">
        <v>1104870.47</v>
      </c>
      <c r="C78" s="1185">
        <f>B78/B66-1</f>
        <v>8.7378646987470665E-2</v>
      </c>
      <c r="D78" s="1187">
        <v>270.94</v>
      </c>
      <c r="E78" s="1185">
        <f>D78/D66-1</f>
        <v>8.7370068627844466E-2</v>
      </c>
      <c r="F78" s="1187">
        <v>1871.68</v>
      </c>
      <c r="G78" s="1185">
        <f>F78/F66-1</f>
        <v>8.7376835843093525E-2</v>
      </c>
      <c r="H78" s="1188">
        <f>(B78*12/(F78-D78))</f>
        <v>8282.6977772780101</v>
      </c>
    </row>
    <row r="79" spans="1:8">
      <c r="A79" s="1186" t="s">
        <v>253</v>
      </c>
      <c r="B79" s="1187">
        <v>1569256.54</v>
      </c>
      <c r="C79" s="1185">
        <f>B79/B67-1</f>
        <v>8.7378639296662897E-2</v>
      </c>
      <c r="D79" s="1187">
        <v>664.1</v>
      </c>
      <c r="E79" s="1185">
        <f>D79/D67-1</f>
        <v>0.10664889185135817</v>
      </c>
      <c r="F79" s="1187">
        <v>3033.77</v>
      </c>
      <c r="G79" s="1185">
        <f>F79/F67-1</f>
        <v>8.7376657264004676E-2</v>
      </c>
      <c r="H79" s="1188">
        <f>(B79*12/(F79-D79))</f>
        <v>7946.7092379951637</v>
      </c>
    </row>
    <row r="80" spans="1:8">
      <c r="A80" s="1186" t="s">
        <v>215</v>
      </c>
      <c r="B80" s="1187">
        <v>2854234.03</v>
      </c>
      <c r="C80" s="1185">
        <f>B80/B68-1</f>
        <v>8.7378644216528523E-2</v>
      </c>
      <c r="D80" s="1187">
        <v>757.5</v>
      </c>
      <c r="E80" s="1185">
        <f>D80/D68-1</f>
        <v>0.10680888369374641</v>
      </c>
      <c r="F80" s="1187">
        <v>4700.57</v>
      </c>
      <c r="G80" s="1185">
        <f>F80/F68-1</f>
        <v>8.7380055704120441E-2</v>
      </c>
      <c r="H80" s="1188">
        <f>(B80*12/(F80-D80))</f>
        <v>8686.3302857925428</v>
      </c>
    </row>
    <row r="81" spans="1:8" ht="27">
      <c r="A81" s="1186" t="s">
        <v>352</v>
      </c>
      <c r="B81" s="1187">
        <v>31529.67</v>
      </c>
      <c r="C81" s="1185">
        <f>B81/B69-1</f>
        <v>8.7378483406699514E-2</v>
      </c>
      <c r="D81" s="1187">
        <v>297.19</v>
      </c>
      <c r="E81" s="1185">
        <f>D81/D69-1</f>
        <v>8.737331235593282E-2</v>
      </c>
      <c r="F81" s="1187">
        <v>364.93</v>
      </c>
      <c r="G81" s="1185">
        <f>F81/F69-1</f>
        <v>8.7363308602246725E-2</v>
      </c>
      <c r="H81" s="1188">
        <f>(B81*12/(F81-D81))</f>
        <v>5585.4154118689094</v>
      </c>
    </row>
  </sheetData>
  <mergeCells count="14">
    <mergeCell ref="A5:A8"/>
    <mergeCell ref="H5:H6"/>
    <mergeCell ref="A16:A19"/>
    <mergeCell ref="H16:H17"/>
    <mergeCell ref="A27:A30"/>
    <mergeCell ref="H27:H28"/>
    <mergeCell ref="A73:A76"/>
    <mergeCell ref="H73:H74"/>
    <mergeCell ref="A38:A41"/>
    <mergeCell ref="H38:H39"/>
    <mergeCell ref="A49:A52"/>
    <mergeCell ref="H49:H50"/>
    <mergeCell ref="A61:A64"/>
    <mergeCell ref="H61:H6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&amp;R&amp;8&amp;P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67"/>
  <sheetViews>
    <sheetView topLeftCell="A18" zoomScaleNormal="100" workbookViewId="0">
      <selection activeCell="K8" sqref="K8"/>
    </sheetView>
  </sheetViews>
  <sheetFormatPr defaultColWidth="9.109375" defaultRowHeight="15.6"/>
  <cols>
    <col min="1" max="1" width="6" style="13" customWidth="1"/>
    <col min="2" max="2" width="42.6640625" style="13" customWidth="1"/>
    <col min="3" max="3" width="7.6640625" style="13" customWidth="1"/>
    <col min="4" max="4" width="11.109375" style="13" customWidth="1"/>
    <col min="5" max="5" width="12.44140625" style="13" customWidth="1"/>
    <col min="6" max="6" width="12.88671875" style="13" customWidth="1"/>
    <col min="7" max="7" width="12.44140625" style="13" customWidth="1"/>
    <col min="8" max="8" width="11" style="13" customWidth="1"/>
    <col min="9" max="9" width="13.109375" style="13" customWidth="1"/>
    <col min="10" max="10" width="10.44140625" style="13" customWidth="1"/>
    <col min="11" max="11" width="12" style="13" customWidth="1"/>
    <col min="12" max="13" width="9" style="78" customWidth="1"/>
    <col min="14" max="14" width="12.5546875" style="78" bestFit="1" customWidth="1"/>
    <col min="15" max="15" width="9.109375" style="13"/>
    <col min="16" max="16" width="10.44140625" style="13" customWidth="1"/>
    <col min="17" max="18" width="9.109375" style="13"/>
    <col min="19" max="19" width="11.6640625" style="13" customWidth="1"/>
    <col min="20" max="16384" width="9.109375" style="13"/>
  </cols>
  <sheetData>
    <row r="1" spans="1:14">
      <c r="A1" s="49" t="s">
        <v>1103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97"/>
      <c r="M1" s="197"/>
      <c r="N1" s="197"/>
    </row>
    <row r="2" spans="1:14">
      <c r="A2" s="49" t="s">
        <v>628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197"/>
      <c r="M2" s="197"/>
      <c r="N2" s="197"/>
    </row>
    <row r="3" spans="1:14" ht="16.2" thickBot="1">
      <c r="A3" s="1220" t="s">
        <v>1106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197"/>
      <c r="M3" s="197"/>
      <c r="N3" s="197"/>
    </row>
    <row r="4" spans="1:14" ht="16.2" hidden="1" thickBot="1">
      <c r="B4" s="198" t="s">
        <v>286</v>
      </c>
      <c r="C4" s="198"/>
      <c r="D4" s="78"/>
      <c r="E4" s="78"/>
      <c r="F4" s="78"/>
      <c r="G4" s="78"/>
      <c r="H4" s="78"/>
      <c r="I4" s="78"/>
    </row>
    <row r="5" spans="1:14" ht="16.2" hidden="1" thickBot="1">
      <c r="B5" s="78"/>
      <c r="C5" s="78"/>
      <c r="D5" s="78"/>
      <c r="E5" s="78"/>
      <c r="H5" s="78"/>
      <c r="I5" s="78"/>
    </row>
    <row r="6" spans="1:14" ht="27.75" hidden="1" customHeight="1">
      <c r="B6" s="1975" t="s">
        <v>242</v>
      </c>
      <c r="C6" s="527"/>
      <c r="D6" s="2002" t="s">
        <v>243</v>
      </c>
      <c r="E6" s="2002" t="s">
        <v>288</v>
      </c>
      <c r="F6" s="2004" t="s">
        <v>245</v>
      </c>
    </row>
    <row r="7" spans="1:14" ht="48" hidden="1" customHeight="1">
      <c r="B7" s="1976"/>
      <c r="C7" s="528"/>
      <c r="D7" s="2003"/>
      <c r="E7" s="2003"/>
      <c r="F7" s="2004"/>
    </row>
    <row r="8" spans="1:14" ht="18.600000000000001" hidden="1" thickBot="1">
      <c r="B8" s="1976"/>
      <c r="C8" s="528"/>
      <c r="D8" s="199" t="s">
        <v>289</v>
      </c>
      <c r="E8" s="199" t="s">
        <v>290</v>
      </c>
      <c r="F8" s="35"/>
    </row>
    <row r="9" spans="1:14" ht="31.8" hidden="1" thickBot="1">
      <c r="B9" s="1977"/>
      <c r="C9" s="529"/>
      <c r="D9" s="35" t="s">
        <v>44</v>
      </c>
      <c r="E9" s="35" t="s">
        <v>35</v>
      </c>
      <c r="F9" s="35" t="s">
        <v>35</v>
      </c>
      <c r="G9" s="198" t="s">
        <v>241</v>
      </c>
    </row>
    <row r="10" spans="1:14" ht="16.2" hidden="1" thickBot="1">
      <c r="B10" s="35" t="s">
        <v>226</v>
      </c>
      <c r="C10" s="35"/>
      <c r="D10" s="200">
        <v>300621.82</v>
      </c>
      <c r="E10" s="200">
        <v>176.8</v>
      </c>
      <c r="F10" s="201">
        <v>592.41</v>
      </c>
      <c r="G10" s="202">
        <f>(D10*12/(F10-E10))</f>
        <v>8679.9206948822211</v>
      </c>
    </row>
    <row r="11" spans="1:14" ht="16.2" hidden="1" thickBot="1">
      <c r="B11" s="35" t="s">
        <v>211</v>
      </c>
      <c r="C11" s="35"/>
      <c r="D11" s="200">
        <v>490793.23</v>
      </c>
      <c r="E11" s="200">
        <v>180</v>
      </c>
      <c r="F11" s="201">
        <v>969.48</v>
      </c>
      <c r="G11" s="202">
        <f>(D11*12/(F11-E11))</f>
        <v>7459.9974160206712</v>
      </c>
      <c r="H11" s="203"/>
      <c r="I11" s="204"/>
      <c r="L11" s="205"/>
    </row>
    <row r="12" spans="1:14" ht="16.2" hidden="1" thickBot="1">
      <c r="B12" s="206" t="s">
        <v>253</v>
      </c>
      <c r="C12" s="206"/>
      <c r="D12" s="200">
        <v>680321</v>
      </c>
      <c r="E12" s="200">
        <v>210</v>
      </c>
      <c r="F12" s="201">
        <v>1441.35</v>
      </c>
      <c r="G12" s="202">
        <f>(D12*12/(F12-E12))</f>
        <v>6630.0012181751745</v>
      </c>
      <c r="H12" s="44" t="s">
        <v>291</v>
      </c>
    </row>
    <row r="13" spans="1:14" ht="16.2" hidden="1" thickBot="1">
      <c r="B13" s="35" t="s">
        <v>215</v>
      </c>
      <c r="C13" s="35"/>
      <c r="D13" s="200">
        <v>851305.82</v>
      </c>
      <c r="E13" s="200">
        <v>432</v>
      </c>
      <c r="F13" s="201">
        <v>2296.17</v>
      </c>
      <c r="G13" s="202">
        <f>(D13*12/(F13-E13))</f>
        <v>5480.0097845153605</v>
      </c>
      <c r="H13" s="207">
        <f>(365-53)*16</f>
        <v>4992</v>
      </c>
      <c r="I13" s="13" t="s">
        <v>285</v>
      </c>
      <c r="L13" s="78" t="s">
        <v>285</v>
      </c>
    </row>
    <row r="14" spans="1:14" ht="16.2" hidden="1" thickBot="1">
      <c r="B14" s="39"/>
      <c r="C14" s="39"/>
      <c r="D14" s="208"/>
      <c r="E14" s="208"/>
      <c r="F14" s="209"/>
      <c r="G14" s="202"/>
      <c r="H14" s="207"/>
    </row>
    <row r="15" spans="1:14" ht="16.2" thickBot="1">
      <c r="A15" s="2005"/>
      <c r="B15" s="2008" t="s">
        <v>292</v>
      </c>
      <c r="C15" s="531"/>
      <c r="D15" s="2011" t="s">
        <v>293</v>
      </c>
      <c r="E15" s="2012"/>
      <c r="F15" s="210" t="s">
        <v>294</v>
      </c>
      <c r="G15" s="211"/>
      <c r="H15" s="212"/>
      <c r="I15" s="213" t="s">
        <v>295</v>
      </c>
      <c r="J15" s="214"/>
      <c r="K15" s="214"/>
      <c r="L15" s="215"/>
      <c r="M15" s="216"/>
      <c r="N15" s="217"/>
    </row>
    <row r="16" spans="1:14" ht="27.6">
      <c r="A16" s="2006"/>
      <c r="B16" s="2009"/>
      <c r="C16" s="559"/>
      <c r="D16" s="2013"/>
      <c r="E16" s="2014"/>
      <c r="F16" s="218" t="s">
        <v>296</v>
      </c>
      <c r="G16" s="219"/>
      <c r="H16" s="220" t="s">
        <v>297</v>
      </c>
      <c r="I16" s="221" t="s">
        <v>298</v>
      </c>
      <c r="J16" s="222"/>
      <c r="K16" s="223"/>
      <c r="L16" s="604" t="s">
        <v>614</v>
      </c>
      <c r="M16" s="224"/>
      <c r="N16" s="1145"/>
    </row>
    <row r="17" spans="1:19" s="233" customFormat="1" ht="80.25" customHeight="1">
      <c r="A17" s="2007"/>
      <c r="B17" s="2010"/>
      <c r="C17" s="530"/>
      <c r="D17" s="79" t="s">
        <v>299</v>
      </c>
      <c r="E17" s="225" t="s">
        <v>300</v>
      </c>
      <c r="F17" s="226" t="s">
        <v>301</v>
      </c>
      <c r="G17" s="9" t="s">
        <v>302</v>
      </c>
      <c r="H17" s="227" t="s">
        <v>303</v>
      </c>
      <c r="I17" s="228" t="s">
        <v>304</v>
      </c>
      <c r="J17" s="79" t="s">
        <v>305</v>
      </c>
      <c r="K17" s="229" t="s">
        <v>103</v>
      </c>
      <c r="L17" s="230" t="s">
        <v>626</v>
      </c>
      <c r="M17" s="231" t="s">
        <v>305</v>
      </c>
      <c r="N17" s="232" t="s">
        <v>103</v>
      </c>
    </row>
    <row r="18" spans="1:19" s="245" customFormat="1" ht="28.5" customHeight="1">
      <c r="A18" s="234">
        <v>1</v>
      </c>
      <c r="B18" s="235">
        <v>2</v>
      </c>
      <c r="C18" s="235"/>
      <c r="D18" s="236">
        <v>3</v>
      </c>
      <c r="E18" s="237">
        <v>4</v>
      </c>
      <c r="F18" s="238">
        <v>5</v>
      </c>
      <c r="G18" s="236">
        <v>6</v>
      </c>
      <c r="H18" s="239">
        <v>7</v>
      </c>
      <c r="I18" s="240" t="s">
        <v>306</v>
      </c>
      <c r="J18" s="241" t="s">
        <v>307</v>
      </c>
      <c r="K18" s="242" t="s">
        <v>308</v>
      </c>
      <c r="L18" s="238">
        <v>11</v>
      </c>
      <c r="M18" s="236">
        <v>12</v>
      </c>
      <c r="N18" s="239">
        <v>13</v>
      </c>
      <c r="O18" s="243" t="s">
        <v>309</v>
      </c>
      <c r="P18" s="244"/>
      <c r="Q18" s="1149" t="s">
        <v>1083</v>
      </c>
      <c r="R18" s="1150"/>
      <c r="S18" s="1151"/>
    </row>
    <row r="19" spans="1:19" ht="17.399999999999999">
      <c r="A19" s="246" t="s">
        <v>310</v>
      </c>
      <c r="B19" s="183" t="s">
        <v>311</v>
      </c>
      <c r="C19" s="183"/>
      <c r="D19" s="247"/>
      <c r="E19" s="248"/>
      <c r="F19" s="249"/>
      <c r="G19" s="247"/>
      <c r="H19" s="250"/>
      <c r="I19" s="251" t="e">
        <f>'НВВ на содержание'!E8</f>
        <v>#REF!</v>
      </c>
      <c r="J19" s="252" t="e">
        <f>E40*E41/1000</f>
        <v>#REF!</v>
      </c>
      <c r="K19" s="253" t="e">
        <f>ROUND((I19+J19),1)</f>
        <v>#REF!</v>
      </c>
      <c r="L19" s="254"/>
      <c r="M19" s="255"/>
      <c r="N19" s="256">
        <f>N23-N31+N34</f>
        <v>18273.302489170001</v>
      </c>
      <c r="O19" s="243" t="e">
        <f>$E$40*$E$41/1000</f>
        <v>#REF!</v>
      </c>
      <c r="Q19" s="1149">
        <f>N23+K34-N32-K33</f>
        <v>18194.355542899997</v>
      </c>
      <c r="R19" s="1151"/>
      <c r="S19" s="1152"/>
    </row>
    <row r="20" spans="1:19" ht="16.2" thickBot="1">
      <c r="A20" s="257"/>
      <c r="B20" s="247" t="s">
        <v>312</v>
      </c>
      <c r="C20" s="247"/>
      <c r="D20" s="247"/>
      <c r="E20" s="248"/>
      <c r="F20" s="258"/>
      <c r="G20" s="259"/>
      <c r="H20" s="260"/>
      <c r="I20" s="577">
        <f>I23+I34-I31</f>
        <v>14460.758379855997</v>
      </c>
      <c r="J20" s="261">
        <f>ROUND((J23+J34-J31),1)</f>
        <v>4048.8</v>
      </c>
      <c r="K20" s="253">
        <f>ROUND((I20+J20),1)</f>
        <v>18509.599999999999</v>
      </c>
      <c r="L20" s="262"/>
      <c r="M20" s="181"/>
      <c r="N20" s="263"/>
      <c r="Q20" s="243"/>
    </row>
    <row r="21" spans="1:19" ht="1.5" hidden="1" customHeight="1">
      <c r="A21" s="264"/>
      <c r="B21" s="265" t="s">
        <v>313</v>
      </c>
      <c r="C21" s="265"/>
      <c r="D21" s="265"/>
      <c r="E21" s="266"/>
      <c r="F21" s="267"/>
      <c r="G21" s="268"/>
      <c r="H21" s="269"/>
      <c r="I21" s="270" t="e">
        <f>K19-K20</f>
        <v>#REF!</v>
      </c>
      <c r="J21" s="271"/>
      <c r="K21" s="272"/>
      <c r="L21" s="273"/>
      <c r="M21" s="274"/>
      <c r="N21" s="275"/>
    </row>
    <row r="22" spans="1:19" ht="15.75" customHeight="1">
      <c r="A22" s="1989" t="s">
        <v>314</v>
      </c>
      <c r="B22" s="1991" t="s">
        <v>1076</v>
      </c>
      <c r="C22" s="1992"/>
      <c r="D22" s="1993"/>
      <c r="E22" s="1993"/>
      <c r="F22" s="276"/>
      <c r="G22" s="277"/>
      <c r="H22" s="278"/>
      <c r="I22" s="279" t="s">
        <v>315</v>
      </c>
      <c r="J22" s="280"/>
      <c r="K22" s="281"/>
      <c r="L22" s="282" t="s">
        <v>316</v>
      </c>
      <c r="M22" s="280"/>
      <c r="N22" s="283"/>
    </row>
    <row r="23" spans="1:19" ht="24" customHeight="1">
      <c r="A23" s="1990"/>
      <c r="B23" s="1994"/>
      <c r="C23" s="1995"/>
      <c r="D23" s="1995"/>
      <c r="E23" s="1995"/>
      <c r="F23" s="284"/>
      <c r="G23" s="285"/>
      <c r="H23" s="286"/>
      <c r="I23" s="287">
        <f>SUM(I25:I29)</f>
        <v>11262.331290095999</v>
      </c>
      <c r="J23" s="288">
        <f>SUM(J25:J29)</f>
        <v>3136.3882511699999</v>
      </c>
      <c r="K23" s="289">
        <f>I23+J23</f>
        <v>14398.719541265998</v>
      </c>
      <c r="L23" s="262"/>
      <c r="M23" s="181"/>
      <c r="N23" s="289">
        <f>SUM(N25:N29)</f>
        <v>14090</v>
      </c>
      <c r="O23" s="564">
        <f>N23-K23</f>
        <v>-308.71954126599849</v>
      </c>
      <c r="P23" s="578">
        <f>N19-K20</f>
        <v>-236.29751082999792</v>
      </c>
    </row>
    <row r="24" spans="1:19" ht="27.75" customHeight="1">
      <c r="A24" s="249"/>
      <c r="B24" s="247" t="s">
        <v>317</v>
      </c>
      <c r="C24" s="560" t="s">
        <v>616</v>
      </c>
      <c r="D24" s="1158">
        <f>SUM(D25:D29)</f>
        <v>1.2511000000000001</v>
      </c>
      <c r="E24" s="1159">
        <f>SUM(E25:E29)</f>
        <v>9842.4600000000009</v>
      </c>
      <c r="F24" s="249"/>
      <c r="G24" s="247"/>
      <c r="H24" s="250"/>
      <c r="I24" s="287"/>
      <c r="J24" s="288"/>
      <c r="K24" s="289"/>
      <c r="L24" s="262"/>
      <c r="M24" s="181"/>
      <c r="N24" s="289"/>
    </row>
    <row r="25" spans="1:19">
      <c r="A25" s="257"/>
      <c r="B25" s="291" t="s">
        <v>1075</v>
      </c>
      <c r="C25" s="1154">
        <f>E25/D25</f>
        <v>8189.3585280954758</v>
      </c>
      <c r="D25" s="1221">
        <v>0.60329999999999995</v>
      </c>
      <c r="E25" s="1222">
        <v>4940.6400000000003</v>
      </c>
      <c r="F25" s="292">
        <f>E62</f>
        <v>427956.36</v>
      </c>
      <c r="G25" s="293">
        <f>'изм.приказ 27 от 28.04.2011'!D42</f>
        <v>179.28</v>
      </c>
      <c r="H25" s="294">
        <f>'изм.приказ 27 от 28.04.2011'!F42</f>
        <v>789.41</v>
      </c>
      <c r="I25" s="520">
        <f>D25*F25*12/1000</f>
        <v>3098.2328638559998</v>
      </c>
      <c r="J25" s="520">
        <f>E25*G25/1000</f>
        <v>885.75793920000001</v>
      </c>
      <c r="K25" s="521">
        <f>I25+J25</f>
        <v>3983.990803056</v>
      </c>
      <c r="L25" s="1141"/>
      <c r="M25" s="520"/>
      <c r="N25" s="521">
        <f>ROUND((E25*H25/1000),1)</f>
        <v>3900.2</v>
      </c>
      <c r="O25" s="1230">
        <f>'2012г.об.под факт2010'!N23-'2012г.об.по стр-ре СЭ'!N23</f>
        <v>1460.7999999999993</v>
      </c>
    </row>
    <row r="26" spans="1:19">
      <c r="A26" s="257"/>
      <c r="B26" s="291" t="s">
        <v>318</v>
      </c>
      <c r="C26" s="1154">
        <f>E26/D26</f>
        <v>7745.3907815631255</v>
      </c>
      <c r="D26" s="1158">
        <v>0.5988</v>
      </c>
      <c r="E26" s="1222">
        <v>4637.9399999999996</v>
      </c>
      <c r="F26" s="292">
        <f>E64</f>
        <v>1110334.72</v>
      </c>
      <c r="G26" s="293">
        <f>'изм.приказ 27 от 28.04.2011'!D44</f>
        <v>469.5</v>
      </c>
      <c r="H26" s="294">
        <f>'изм.приказ 27 от 28.04.2011'!F44</f>
        <v>2146.56</v>
      </c>
      <c r="I26" s="520">
        <f>D26*F26*12/1000</f>
        <v>7978.4211640319991</v>
      </c>
      <c r="J26" s="520">
        <f>E26*G26/1000</f>
        <v>2177.5128299999997</v>
      </c>
      <c r="K26" s="521">
        <f>I26+J26</f>
        <v>10155.933994031999</v>
      </c>
      <c r="L26" s="1141"/>
      <c r="M26" s="520"/>
      <c r="N26" s="521">
        <f>ROUND((E26*H26/1000),1)</f>
        <v>9955.6</v>
      </c>
      <c r="O26" s="1231" t="s">
        <v>1105</v>
      </c>
    </row>
    <row r="27" spans="1:19">
      <c r="A27" s="257"/>
      <c r="B27" s="295" t="s">
        <v>1074</v>
      </c>
      <c r="C27" s="1154">
        <f>E27/D27</f>
        <v>7520.833333333333</v>
      </c>
      <c r="D27" s="1158">
        <v>7.1999999999999998E-3</v>
      </c>
      <c r="E27" s="1159">
        <v>54.15</v>
      </c>
      <c r="F27" s="292">
        <f>'изм.приказ 27 от 28.04.2011'!B45</f>
        <v>2019526.48</v>
      </c>
      <c r="G27" s="293">
        <f>'изм.приказ 27 от 28.04.2011'!D45</f>
        <v>535.79999999999995</v>
      </c>
      <c r="H27" s="294">
        <f>'изм.приказ 27 от 28.04.2011'!F45</f>
        <v>3325.91</v>
      </c>
      <c r="I27" s="520">
        <f>D27*F27*12/1000</f>
        <v>174.48708787200002</v>
      </c>
      <c r="J27" s="520">
        <f>E27*G27/1000</f>
        <v>29.013569999999994</v>
      </c>
      <c r="K27" s="521">
        <f>I27+J27</f>
        <v>203.500657872</v>
      </c>
      <c r="L27" s="1141"/>
      <c r="M27" s="520"/>
      <c r="N27" s="521">
        <f>ROUND((E27*H27/1000),1)</f>
        <v>180.1</v>
      </c>
    </row>
    <row r="28" spans="1:19" s="358" customFormat="1" ht="28.2">
      <c r="A28" s="257"/>
      <c r="B28" s="295" t="s">
        <v>1073</v>
      </c>
      <c r="C28" s="1154">
        <f>E28/D28</f>
        <v>4967.4418604651164</v>
      </c>
      <c r="D28" s="1158">
        <v>4.3E-3</v>
      </c>
      <c r="E28" s="1159">
        <v>21.36</v>
      </c>
      <c r="F28" s="292">
        <f>'изм.приказ 27 от 28.04.2011'!B46</f>
        <v>22308.959999999999</v>
      </c>
      <c r="G28" s="293">
        <f>'изм.приказ 27 от 28.04.2011'!D46</f>
        <v>210.28899999999999</v>
      </c>
      <c r="H28" s="294">
        <f>'изм.приказ 27 от 28.04.2011'!F46</f>
        <v>258.20999999999998</v>
      </c>
      <c r="I28" s="520">
        <f>D28*F28*12/1000</f>
        <v>1.1511423359999999</v>
      </c>
      <c r="J28" s="520">
        <f>E28*G28/1000</f>
        <v>4.49177304</v>
      </c>
      <c r="K28" s="521">
        <f>I28+J28</f>
        <v>5.6429153759999995</v>
      </c>
      <c r="L28" s="1141"/>
      <c r="M28" s="520"/>
      <c r="N28" s="521">
        <f>ROUND((E28*H28/1000),1)</f>
        <v>5.5</v>
      </c>
    </row>
    <row r="29" spans="1:19" s="358" customFormat="1" ht="28.8" thickBot="1">
      <c r="A29" s="368"/>
      <c r="B29" s="295" t="s">
        <v>319</v>
      </c>
      <c r="C29" s="582">
        <f>E29/D29</f>
        <v>5023.2000000000007</v>
      </c>
      <c r="D29" s="1223">
        <v>3.7499999999999999E-2</v>
      </c>
      <c r="E29" s="1224">
        <v>188.37</v>
      </c>
      <c r="F29" s="372">
        <f>F28</f>
        <v>22308.959999999999</v>
      </c>
      <c r="G29" s="373">
        <f>G28</f>
        <v>210.28899999999999</v>
      </c>
      <c r="H29" s="374">
        <f>G66</f>
        <v>258.20999999999998</v>
      </c>
      <c r="I29" s="298">
        <f>D29*F29*12/1000</f>
        <v>10.039031999999999</v>
      </c>
      <c r="J29" s="299">
        <f>E29*G29/1000</f>
        <v>39.61213893</v>
      </c>
      <c r="K29" s="300">
        <f>I29+J29</f>
        <v>49.651170929999999</v>
      </c>
      <c r="L29" s="298"/>
      <c r="M29" s="1142"/>
      <c r="N29" s="300">
        <f>ROUND((E29*H29/1000),1)</f>
        <v>48.6</v>
      </c>
      <c r="O29" s="13"/>
    </row>
    <row r="30" spans="1:19" ht="16.5" customHeight="1">
      <c r="A30" s="1996" t="s">
        <v>320</v>
      </c>
      <c r="B30" s="1997" t="s">
        <v>1077</v>
      </c>
      <c r="C30" s="1155"/>
      <c r="D30" s="301" t="s">
        <v>321</v>
      </c>
      <c r="E30" s="332"/>
      <c r="F30" s="334" t="s">
        <v>322</v>
      </c>
      <c r="G30" s="301"/>
      <c r="H30" s="301"/>
      <c r="I30" s="302" t="s">
        <v>315</v>
      </c>
      <c r="J30" s="303"/>
      <c r="K30" s="304"/>
      <c r="L30" s="282" t="s">
        <v>316</v>
      </c>
      <c r="M30" s="303"/>
      <c r="N30" s="304"/>
    </row>
    <row r="31" spans="1:19" ht="27.6">
      <c r="A31" s="1990"/>
      <c r="B31" s="1998"/>
      <c r="C31" s="1156"/>
      <c r="D31" s="231" t="s">
        <v>299</v>
      </c>
      <c r="E31" s="333" t="s">
        <v>300</v>
      </c>
      <c r="F31" s="335" t="s">
        <v>323</v>
      </c>
      <c r="G31" s="305" t="s">
        <v>35</v>
      </c>
      <c r="H31" s="376" t="s">
        <v>508</v>
      </c>
      <c r="I31" s="1141">
        <f>SUM(I32:I33)</f>
        <v>2325.3075864800003</v>
      </c>
      <c r="J31" s="520">
        <f>SUM(J32:J33)</f>
        <v>1689.7856701799999</v>
      </c>
      <c r="K31" s="1153">
        <f>SUM(K32:K33)</f>
        <v>4015.09325666</v>
      </c>
      <c r="L31" s="570">
        <f>SUM(L33:L33)</f>
        <v>0</v>
      </c>
      <c r="M31" s="431">
        <f>SUM(M33:M33)</f>
        <v>0</v>
      </c>
      <c r="N31" s="583">
        <f>SUM(N32:N33)</f>
        <v>3943.6471237199994</v>
      </c>
    </row>
    <row r="32" spans="1:19" ht="22.5" customHeight="1">
      <c r="A32" s="306">
        <v>1</v>
      </c>
      <c r="B32" s="247" t="s">
        <v>1079</v>
      </c>
      <c r="C32" s="581">
        <f>E32/D32</f>
        <v>7183.2162162162167</v>
      </c>
      <c r="D32" s="1235">
        <v>7.3999999999999996E-2</v>
      </c>
      <c r="E32" s="1147">
        <v>531.55799999999999</v>
      </c>
      <c r="F32" s="568">
        <v>279175.21000000002</v>
      </c>
      <c r="G32" s="569">
        <v>108.71</v>
      </c>
      <c r="H32" s="1148">
        <f>K32/E32*1000+12.17</f>
        <v>587.25918435993799</v>
      </c>
      <c r="I32" s="262">
        <f>$D32*$F32*12/1000</f>
        <v>247.90758647999999</v>
      </c>
      <c r="J32" s="181">
        <f>$E32*$G32/1000</f>
        <v>57.785670179999997</v>
      </c>
      <c r="K32" s="263">
        <f>I32+J32</f>
        <v>305.69325665999997</v>
      </c>
      <c r="L32" s="431"/>
      <c r="M32" s="431"/>
      <c r="N32" s="558">
        <f>E32*H32/1000</f>
        <v>312.16231751999993</v>
      </c>
    </row>
    <row r="33" spans="1:15" ht="22.5" customHeight="1" thickBot="1">
      <c r="A33" s="306">
        <v>1</v>
      </c>
      <c r="B33" s="247" t="s">
        <v>1080</v>
      </c>
      <c r="C33" s="581">
        <f>E33/D33</f>
        <v>8745.2795698924729</v>
      </c>
      <c r="D33" s="1233">
        <v>9.2999999999999999E-2</v>
      </c>
      <c r="E33" s="1137">
        <v>813.31100000000004</v>
      </c>
      <c r="F33" s="568">
        <v>1861465.03</v>
      </c>
      <c r="G33" s="569">
        <v>2006.61</v>
      </c>
      <c r="H33" s="1148">
        <f>K33/E33*1000-95.8</f>
        <v>4465.0629417283171</v>
      </c>
      <c r="I33" s="520">
        <f>ROUND(($D$33*$F$33*12/1000),1)</f>
        <v>2077.4</v>
      </c>
      <c r="J33" s="520">
        <f>ROUND(($E$33*$G$33/1000),1)</f>
        <v>1632</v>
      </c>
      <c r="K33" s="521">
        <f>I33+J33</f>
        <v>3709.4</v>
      </c>
      <c r="L33" s="431"/>
      <c r="M33" s="431"/>
      <c r="N33" s="558">
        <f>E33*H33/1000</f>
        <v>3631.4848061999996</v>
      </c>
    </row>
    <row r="34" spans="1:15" ht="47.4" thickBot="1">
      <c r="A34" s="592" t="s">
        <v>325</v>
      </c>
      <c r="B34" s="593" t="s">
        <v>1078</v>
      </c>
      <c r="C34" s="1157"/>
      <c r="D34" s="594"/>
      <c r="E34" s="595"/>
      <c r="F34" s="596" t="s">
        <v>323</v>
      </c>
      <c r="G34" s="597" t="s">
        <v>35</v>
      </c>
      <c r="H34" s="598" t="s">
        <v>35</v>
      </c>
      <c r="I34" s="599">
        <f>SUM(I35:I37)</f>
        <v>5523.7346762400002</v>
      </c>
      <c r="J34" s="600">
        <f>SUM(J35:J37)</f>
        <v>2602.1831841799999</v>
      </c>
      <c r="K34" s="601">
        <f>SUM(K35:K37)</f>
        <v>8125.9178604199997</v>
      </c>
      <c r="L34" s="602">
        <f>SUM(L36:L37)</f>
        <v>0</v>
      </c>
      <c r="M34" s="603">
        <f>SUM(M36:M37)</f>
        <v>0</v>
      </c>
      <c r="N34" s="601">
        <f>SUM(N35:N37)</f>
        <v>8126.94961289</v>
      </c>
    </row>
    <row r="35" spans="1:15">
      <c r="A35" s="584">
        <v>1</v>
      </c>
      <c r="B35" s="330" t="s">
        <v>324</v>
      </c>
      <c r="C35" s="585">
        <f>E35/D35</f>
        <v>7858.2769336227584</v>
      </c>
      <c r="D35" s="1232">
        <f>D24+D36+D37+D32+D33+G40</f>
        <v>4.3765000000000001</v>
      </c>
      <c r="E35" s="1143">
        <f>E24+E36+E37+E32+E33+E40</f>
        <v>34391.749000000003</v>
      </c>
      <c r="F35" s="586">
        <v>451.08</v>
      </c>
      <c r="G35" s="587">
        <v>0.82</v>
      </c>
      <c r="H35" s="1148">
        <f>K35/E35*1000+0.03</f>
        <v>1.5388227592030868</v>
      </c>
      <c r="I35" s="588">
        <f>$D$35*$F$35*12/1000</f>
        <v>23.689819440000001</v>
      </c>
      <c r="J35" s="589">
        <f>$E$35*$G$35/1000</f>
        <v>28.20123418</v>
      </c>
      <c r="K35" s="590">
        <f>I35+J35</f>
        <v>51.891053620000001</v>
      </c>
      <c r="L35" s="591"/>
      <c r="M35" s="589"/>
      <c r="N35" s="590">
        <f>E35*H35/1000</f>
        <v>52.922806090000009</v>
      </c>
    </row>
    <row r="36" spans="1:15">
      <c r="A36" s="331">
        <v>2</v>
      </c>
      <c r="B36" s="247" t="s">
        <v>350</v>
      </c>
      <c r="C36" s="581">
        <f>E36/D36</f>
        <v>7891.3725490196084</v>
      </c>
      <c r="D36" s="1233">
        <v>2.5499999999999998</v>
      </c>
      <c r="E36" s="561">
        <v>20123</v>
      </c>
      <c r="F36" s="571">
        <v>169906.8</v>
      </c>
      <c r="G36" s="572">
        <v>114.55</v>
      </c>
      <c r="H36" s="573">
        <f>K36/E36*1000</f>
        <v>372.91843810565024</v>
      </c>
      <c r="I36" s="262">
        <f>$D36*$F36*12/1000</f>
        <v>5199.1480799999999</v>
      </c>
      <c r="J36" s="181">
        <f>$E36*$G36/1000</f>
        <v>2305.0896499999999</v>
      </c>
      <c r="K36" s="263">
        <f>I36+J36</f>
        <v>7504.2377299999998</v>
      </c>
      <c r="L36" s="371"/>
      <c r="M36" s="181"/>
      <c r="N36" s="263">
        <f>E36*H36/1000</f>
        <v>7504.2377299999998</v>
      </c>
    </row>
    <row r="37" spans="1:15" ht="16.2" thickBot="1">
      <c r="A37" s="307">
        <v>3</v>
      </c>
      <c r="B37" s="259" t="s">
        <v>1081</v>
      </c>
      <c r="C37" s="582">
        <f>E37/D37</f>
        <v>6607.8431372549021</v>
      </c>
      <c r="D37" s="1234">
        <v>0.10199999999999999</v>
      </c>
      <c r="E37" s="562">
        <v>674</v>
      </c>
      <c r="F37" s="574">
        <v>245830.7</v>
      </c>
      <c r="G37" s="575">
        <v>398.95</v>
      </c>
      <c r="H37" s="576">
        <f>K37/E37*1000</f>
        <v>845.38438694362014</v>
      </c>
      <c r="I37" s="567">
        <f>$D$37*$F$37*12/1000</f>
        <v>300.8967768</v>
      </c>
      <c r="J37" s="566">
        <f>$E$37*$G$37/1000</f>
        <v>268.89229999999998</v>
      </c>
      <c r="K37" s="605">
        <f>I37+J37</f>
        <v>569.78907679999998</v>
      </c>
      <c r="L37" s="579"/>
      <c r="M37" s="580"/>
      <c r="N37" s="300">
        <f>E37*H37/1000</f>
        <v>569.78907679999998</v>
      </c>
    </row>
    <row r="38" spans="1:15" hidden="1">
      <c r="F38" s="78"/>
      <c r="G38" s="78"/>
      <c r="H38" s="78"/>
      <c r="L38" s="13"/>
      <c r="M38" s="13"/>
      <c r="N38" s="13"/>
    </row>
    <row r="39" spans="1:15">
      <c r="B39" s="44" t="s">
        <v>257</v>
      </c>
      <c r="C39" s="44"/>
      <c r="L39" s="13"/>
      <c r="M39" s="13"/>
      <c r="N39" s="13"/>
    </row>
    <row r="40" spans="1:15">
      <c r="D40" s="44" t="s">
        <v>1082</v>
      </c>
      <c r="E40" s="1229">
        <v>2407.42</v>
      </c>
      <c r="F40" s="13" t="s">
        <v>326</v>
      </c>
      <c r="G40" s="13">
        <v>0.30640000000000001</v>
      </c>
      <c r="H40" s="563">
        <f>E36+E37+E29+E40</f>
        <v>23392.79</v>
      </c>
      <c r="L40" s="13"/>
      <c r="M40" s="13"/>
      <c r="N40" s="13"/>
    </row>
    <row r="41" spans="1:15">
      <c r="D41" s="44" t="s">
        <v>327</v>
      </c>
      <c r="E41" s="308" t="e">
        <f>#REF!</f>
        <v>#REF!</v>
      </c>
      <c r="F41" s="13" t="s">
        <v>328</v>
      </c>
      <c r="L41" s="13"/>
      <c r="M41" s="13"/>
      <c r="N41" s="13"/>
    </row>
    <row r="42" spans="1:15" hidden="1"/>
    <row r="43" spans="1:15" hidden="1">
      <c r="E43" s="13" t="s">
        <v>328</v>
      </c>
      <c r="G43" s="377" t="s">
        <v>623</v>
      </c>
      <c r="H43" s="377"/>
      <c r="I43" s="377"/>
      <c r="J43" s="377"/>
      <c r="K43" s="377"/>
    </row>
    <row r="44" spans="1:15" hidden="1">
      <c r="E44" s="384"/>
      <c r="F44" s="383"/>
      <c r="G44" s="378" t="s">
        <v>322</v>
      </c>
      <c r="H44" s="378"/>
      <c r="I44" s="378"/>
      <c r="J44" s="382" t="s">
        <v>509</v>
      </c>
      <c r="K44" s="382"/>
      <c r="L44" s="13"/>
      <c r="M44" s="13"/>
      <c r="N44" s="13"/>
      <c r="O44" s="309"/>
    </row>
    <row r="45" spans="1:15" ht="27" hidden="1">
      <c r="E45" s="384"/>
      <c r="F45" s="383"/>
      <c r="G45" s="379" t="s">
        <v>323</v>
      </c>
      <c r="H45" s="379" t="s">
        <v>35</v>
      </c>
      <c r="I45" s="380" t="s">
        <v>508</v>
      </c>
      <c r="J45" s="377"/>
      <c r="K45" s="377"/>
      <c r="L45" s="13"/>
      <c r="M45" s="13"/>
      <c r="N45" s="13"/>
      <c r="O45" s="310"/>
    </row>
    <row r="46" spans="1:15" hidden="1">
      <c r="E46" s="384"/>
      <c r="F46" s="383"/>
      <c r="G46" s="125"/>
      <c r="H46" s="125"/>
      <c r="I46" s="125"/>
      <c r="J46" s="377"/>
      <c r="K46" s="377"/>
      <c r="L46" s="13"/>
      <c r="M46" s="13"/>
      <c r="N46" s="13"/>
      <c r="O46" s="309"/>
    </row>
    <row r="47" spans="1:15" hidden="1">
      <c r="E47" s="384"/>
      <c r="F47" s="383" t="s">
        <v>624</v>
      </c>
      <c r="G47" s="125"/>
      <c r="H47" s="125"/>
      <c r="I47" s="125"/>
      <c r="J47" s="377"/>
      <c r="K47" s="377"/>
    </row>
    <row r="48" spans="1:15" hidden="1">
      <c r="E48" s="384"/>
      <c r="F48" s="383" t="s">
        <v>324</v>
      </c>
      <c r="G48" s="381"/>
      <c r="H48" s="381"/>
      <c r="I48" s="381"/>
      <c r="J48" s="377"/>
      <c r="K48" s="381"/>
    </row>
    <row r="49" spans="2:14" hidden="1">
      <c r="E49" s="384"/>
      <c r="F49" s="383" t="s">
        <v>350</v>
      </c>
      <c r="G49" s="381"/>
      <c r="H49" s="381"/>
      <c r="I49" s="381"/>
      <c r="J49" s="377"/>
      <c r="K49" s="381"/>
    </row>
    <row r="50" spans="2:14" hidden="1">
      <c r="E50" s="384"/>
      <c r="F50" s="383" t="s">
        <v>621</v>
      </c>
      <c r="G50" s="381"/>
      <c r="H50" s="381"/>
      <c r="I50" s="381"/>
      <c r="J50" s="377"/>
      <c r="K50" s="381"/>
    </row>
    <row r="51" spans="2:14" hidden="1">
      <c r="E51" s="384"/>
      <c r="F51" s="383" t="s">
        <v>186</v>
      </c>
      <c r="G51" s="381"/>
      <c r="H51" s="381"/>
      <c r="I51" s="381"/>
      <c r="J51" s="377"/>
      <c r="K51" s="381"/>
    </row>
    <row r="52" spans="2:14" hidden="1"/>
    <row r="53" spans="2:14" hidden="1"/>
    <row r="54" spans="2:14" hidden="1">
      <c r="K54" s="78"/>
      <c r="L54" s="13"/>
      <c r="M54" s="13"/>
      <c r="N54" s="13"/>
    </row>
    <row r="55" spans="2:14" hidden="1"/>
    <row r="56" spans="2:14" hidden="1"/>
    <row r="57" spans="2:14" ht="12.75" customHeight="1">
      <c r="B57" s="4" t="s">
        <v>631</v>
      </c>
      <c r="C57" s="4"/>
      <c r="D57" s="4"/>
      <c r="E57" s="4"/>
      <c r="F57" s="4"/>
      <c r="G57" s="100"/>
      <c r="H57" s="101"/>
    </row>
    <row r="58" spans="2:14">
      <c r="B58" s="1987" t="s">
        <v>242</v>
      </c>
      <c r="C58" s="6"/>
      <c r="D58" s="6"/>
      <c r="E58" s="2000" t="s">
        <v>243</v>
      </c>
      <c r="F58" s="17" t="s">
        <v>244</v>
      </c>
      <c r="G58" s="1987" t="s">
        <v>245</v>
      </c>
      <c r="H58" s="4"/>
    </row>
    <row r="59" spans="2:14" ht="66.599999999999994">
      <c r="B59" s="1999"/>
      <c r="C59" s="11"/>
      <c r="D59" s="11"/>
      <c r="E59" s="2001"/>
      <c r="F59" s="17" t="s">
        <v>246</v>
      </c>
      <c r="G59" s="1988"/>
      <c r="H59" s="4"/>
    </row>
    <row r="60" spans="2:14" ht="16.8">
      <c r="B60" s="1999"/>
      <c r="C60" s="11"/>
      <c r="D60" s="11"/>
      <c r="E60" s="81" t="s">
        <v>247</v>
      </c>
      <c r="F60" s="81" t="s">
        <v>248</v>
      </c>
      <c r="G60" s="9"/>
      <c r="H60" s="101" t="s">
        <v>241</v>
      </c>
    </row>
    <row r="61" spans="2:14" ht="15.75" customHeight="1">
      <c r="B61" s="1988"/>
      <c r="C61" s="7"/>
      <c r="D61" s="7"/>
      <c r="E61" s="9" t="s">
        <v>44</v>
      </c>
      <c r="F61" s="9" t="s">
        <v>249</v>
      </c>
      <c r="G61" s="9" t="s">
        <v>249</v>
      </c>
      <c r="H61" s="100"/>
    </row>
    <row r="62" spans="2:14">
      <c r="B62" s="9" t="s">
        <v>226</v>
      </c>
      <c r="C62" s="538"/>
      <c r="D62" s="538"/>
      <c r="E62" s="1227">
        <f>'изм.приказ 27 от 28.04.2011'!B42</f>
        <v>427956.36</v>
      </c>
      <c r="F62" s="1227">
        <f>'изм.приказ 27 от 28.04.2011'!D42</f>
        <v>179.28</v>
      </c>
      <c r="G62" s="1227">
        <f>'изм.приказ 27 от 28.04.2011'!F42</f>
        <v>789.41</v>
      </c>
      <c r="H62" s="540">
        <f>(E62*12/(G62-F62))</f>
        <v>8417.0198482290671</v>
      </c>
    </row>
    <row r="63" spans="2:14">
      <c r="B63" s="9" t="s">
        <v>211</v>
      </c>
      <c r="C63" s="9"/>
      <c r="D63" s="1163"/>
      <c r="E63" s="191">
        <f>'изм.приказ 27 от 28.04.2011'!B43</f>
        <v>781756.21</v>
      </c>
      <c r="F63" s="191">
        <f>'изм.приказ 27 от 28.04.2011'!D43</f>
        <v>191.71</v>
      </c>
      <c r="G63" s="191">
        <f>'изм.приказ 27 от 28.04.2011'!F43</f>
        <v>1324.32</v>
      </c>
      <c r="H63" s="100">
        <f>(E63*12/(G63-F63))</f>
        <v>8282.7050087850184</v>
      </c>
    </row>
    <row r="64" spans="2:14">
      <c r="B64" s="17" t="s">
        <v>253</v>
      </c>
      <c r="C64" s="17"/>
      <c r="D64" s="1225"/>
      <c r="E64" s="191">
        <f>'изм.приказ 27 от 28.04.2011'!B44</f>
        <v>1110334.72</v>
      </c>
      <c r="F64" s="191">
        <f>'изм.приказ 27 от 28.04.2011'!D44</f>
        <v>469.5</v>
      </c>
      <c r="G64" s="191">
        <f>'изм.приказ 27 от 28.04.2011'!F44</f>
        <v>2146.56</v>
      </c>
      <c r="H64" s="100">
        <f>(E64*12/(G64-F64))</f>
        <v>7944.8658008658012</v>
      </c>
    </row>
    <row r="65" spans="2:8">
      <c r="B65" s="9" t="s">
        <v>215</v>
      </c>
      <c r="C65" s="538"/>
      <c r="D65" s="538"/>
      <c r="E65" s="1228">
        <f>'изм.приказ 27 от 28.04.2011'!B45</f>
        <v>2019526.48</v>
      </c>
      <c r="F65" s="1228">
        <f>'изм.приказ 27 от 28.04.2011'!D45</f>
        <v>535.79999999999995</v>
      </c>
      <c r="G65" s="1228">
        <f>'изм.приказ 27 от 28.04.2011'!F45</f>
        <v>3325.91</v>
      </c>
      <c r="H65" s="540">
        <f>(E65*12/(G65-F65))</f>
        <v>8685.7929472314718</v>
      </c>
    </row>
    <row r="66" spans="2:8">
      <c r="B66" s="341" t="s">
        <v>352</v>
      </c>
      <c r="C66" s="341"/>
      <c r="D66" s="1226"/>
      <c r="E66" s="342">
        <f>'изм.приказ 27 от 28.04.2011'!B46</f>
        <v>22308.959999999999</v>
      </c>
      <c r="F66" s="342">
        <f>'изм.приказ 27 от 28.04.2011'!D46</f>
        <v>210.28899999999999</v>
      </c>
      <c r="G66" s="342">
        <f>'изм.приказ 27 от 28.04.2011'!F46</f>
        <v>258.20999999999998</v>
      </c>
      <c r="H66" s="196">
        <f>(E66*12/(G66-F66))</f>
        <v>5586.4343398510064</v>
      </c>
    </row>
    <row r="67" spans="2:8">
      <c r="B67" s="47"/>
      <c r="C67" s="47"/>
      <c r="D67" s="47"/>
      <c r="E67" s="47"/>
      <c r="F67" s="47"/>
      <c r="G67" s="47"/>
      <c r="H67" s="47"/>
    </row>
  </sheetData>
  <mergeCells count="14">
    <mergeCell ref="G58:G59"/>
    <mergeCell ref="A22:A23"/>
    <mergeCell ref="B22:E23"/>
    <mergeCell ref="A30:A31"/>
    <mergeCell ref="B30:B31"/>
    <mergeCell ref="B58:B61"/>
    <mergeCell ref="E58:E59"/>
    <mergeCell ref="B6:B9"/>
    <mergeCell ref="D6:D7"/>
    <mergeCell ref="E6:E7"/>
    <mergeCell ref="F6:F7"/>
    <mergeCell ref="A15:A17"/>
    <mergeCell ref="B15:B17"/>
    <mergeCell ref="D15:E16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67"/>
  <sheetViews>
    <sheetView topLeftCell="D18" zoomScaleNormal="100" workbookViewId="0">
      <selection activeCell="K8" sqref="K8"/>
    </sheetView>
  </sheetViews>
  <sheetFormatPr defaultColWidth="9.109375" defaultRowHeight="15.6"/>
  <cols>
    <col min="1" max="1" width="6" style="13" customWidth="1"/>
    <col min="2" max="2" width="42.6640625" style="13" customWidth="1"/>
    <col min="3" max="3" width="7.6640625" style="13" customWidth="1"/>
    <col min="4" max="4" width="11.109375" style="13" customWidth="1"/>
    <col min="5" max="5" width="12.44140625" style="13" customWidth="1"/>
    <col min="6" max="6" width="12.88671875" style="13" customWidth="1"/>
    <col min="7" max="7" width="12.44140625" style="13" customWidth="1"/>
    <col min="8" max="8" width="11" style="13" customWidth="1"/>
    <col min="9" max="9" width="13.109375" style="13" customWidth="1"/>
    <col min="10" max="10" width="10.44140625" style="13" customWidth="1"/>
    <col min="11" max="11" width="12" style="13" customWidth="1"/>
    <col min="12" max="13" width="9" style="78" customWidth="1"/>
    <col min="14" max="14" width="12.5546875" style="78" bestFit="1" customWidth="1"/>
    <col min="15" max="15" width="9.109375" style="13"/>
    <col min="16" max="16" width="10.44140625" style="13" customWidth="1"/>
    <col min="17" max="18" width="9.109375" style="13"/>
    <col min="19" max="19" width="11.6640625" style="13" customWidth="1"/>
    <col min="20" max="16384" width="9.109375" style="13"/>
  </cols>
  <sheetData>
    <row r="1" spans="1:14">
      <c r="A1" s="49" t="s">
        <v>1103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97"/>
      <c r="M1" s="197"/>
      <c r="N1" s="197"/>
    </row>
    <row r="2" spans="1:14">
      <c r="A2" s="49" t="s">
        <v>628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197"/>
      <c r="M2" s="197"/>
      <c r="N2" s="197"/>
    </row>
    <row r="3" spans="1:14" ht="16.2" thickBot="1">
      <c r="A3" s="1220" t="s">
        <v>1104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197"/>
      <c r="M3" s="197"/>
      <c r="N3" s="197"/>
    </row>
    <row r="4" spans="1:14" ht="16.2" hidden="1" thickBot="1">
      <c r="B4" s="198" t="s">
        <v>286</v>
      </c>
      <c r="C4" s="198"/>
      <c r="D4" s="78"/>
      <c r="E4" s="78"/>
      <c r="F4" s="78"/>
      <c r="G4" s="78"/>
      <c r="H4" s="78"/>
      <c r="I4" s="78"/>
    </row>
    <row r="5" spans="1:14" ht="16.2" hidden="1" thickBot="1">
      <c r="B5" s="78"/>
      <c r="C5" s="78"/>
      <c r="D5" s="78"/>
      <c r="E5" s="78"/>
      <c r="H5" s="78"/>
      <c r="I5" s="78"/>
    </row>
    <row r="6" spans="1:14" ht="27.75" hidden="1" customHeight="1">
      <c r="B6" s="1975" t="s">
        <v>242</v>
      </c>
      <c r="C6" s="527"/>
      <c r="D6" s="2002" t="s">
        <v>243</v>
      </c>
      <c r="E6" s="2002" t="s">
        <v>288</v>
      </c>
      <c r="F6" s="2004" t="s">
        <v>245</v>
      </c>
    </row>
    <row r="7" spans="1:14" ht="48" hidden="1" customHeight="1">
      <c r="B7" s="1976"/>
      <c r="C7" s="528"/>
      <c r="D7" s="2003"/>
      <c r="E7" s="2003"/>
      <c r="F7" s="2004"/>
    </row>
    <row r="8" spans="1:14" ht="18.600000000000001" hidden="1" thickBot="1">
      <c r="B8" s="1976"/>
      <c r="C8" s="528"/>
      <c r="D8" s="199" t="s">
        <v>289</v>
      </c>
      <c r="E8" s="199" t="s">
        <v>290</v>
      </c>
      <c r="F8" s="35"/>
    </row>
    <row r="9" spans="1:14" ht="31.8" hidden="1" thickBot="1">
      <c r="B9" s="1977"/>
      <c r="C9" s="529"/>
      <c r="D9" s="35" t="s">
        <v>44</v>
      </c>
      <c r="E9" s="35" t="s">
        <v>35</v>
      </c>
      <c r="F9" s="35" t="s">
        <v>35</v>
      </c>
      <c r="G9" s="198" t="s">
        <v>241</v>
      </c>
    </row>
    <row r="10" spans="1:14" ht="16.2" hidden="1" thickBot="1">
      <c r="B10" s="35" t="s">
        <v>226</v>
      </c>
      <c r="C10" s="35"/>
      <c r="D10" s="200">
        <v>300621.82</v>
      </c>
      <c r="E10" s="200">
        <v>176.8</v>
      </c>
      <c r="F10" s="201">
        <v>592.41</v>
      </c>
      <c r="G10" s="202">
        <f>(D10*12/(F10-E10))</f>
        <v>8679.9206948822211</v>
      </c>
    </row>
    <row r="11" spans="1:14" ht="16.2" hidden="1" thickBot="1">
      <c r="B11" s="35" t="s">
        <v>211</v>
      </c>
      <c r="C11" s="35"/>
      <c r="D11" s="200">
        <v>490793.23</v>
      </c>
      <c r="E11" s="200">
        <v>180</v>
      </c>
      <c r="F11" s="201">
        <v>969.48</v>
      </c>
      <c r="G11" s="202">
        <f>(D11*12/(F11-E11))</f>
        <v>7459.9974160206712</v>
      </c>
      <c r="H11" s="203"/>
      <c r="I11" s="204"/>
      <c r="L11" s="205"/>
    </row>
    <row r="12" spans="1:14" ht="16.2" hidden="1" thickBot="1">
      <c r="B12" s="206" t="s">
        <v>253</v>
      </c>
      <c r="C12" s="206"/>
      <c r="D12" s="200">
        <v>680321</v>
      </c>
      <c r="E12" s="200">
        <v>210</v>
      </c>
      <c r="F12" s="201">
        <v>1441.35</v>
      </c>
      <c r="G12" s="202">
        <f>(D12*12/(F12-E12))</f>
        <v>6630.0012181751745</v>
      </c>
      <c r="H12" s="44" t="s">
        <v>291</v>
      </c>
    </row>
    <row r="13" spans="1:14" ht="16.2" hidden="1" thickBot="1">
      <c r="B13" s="35" t="s">
        <v>215</v>
      </c>
      <c r="C13" s="35"/>
      <c r="D13" s="200">
        <v>851305.82</v>
      </c>
      <c r="E13" s="200">
        <v>432</v>
      </c>
      <c r="F13" s="201">
        <v>2296.17</v>
      </c>
      <c r="G13" s="202">
        <f>(D13*12/(F13-E13))</f>
        <v>5480.0097845153605</v>
      </c>
      <c r="H13" s="207">
        <f>(365-53)*16</f>
        <v>4992</v>
      </c>
      <c r="I13" s="13" t="s">
        <v>285</v>
      </c>
      <c r="L13" s="78" t="s">
        <v>285</v>
      </c>
    </row>
    <row r="14" spans="1:14" ht="16.2" hidden="1" thickBot="1">
      <c r="B14" s="39"/>
      <c r="C14" s="39"/>
      <c r="D14" s="208"/>
      <c r="E14" s="208"/>
      <c r="F14" s="209"/>
      <c r="G14" s="202"/>
      <c r="H14" s="207"/>
    </row>
    <row r="15" spans="1:14" ht="16.2" thickBot="1">
      <c r="A15" s="2005"/>
      <c r="B15" s="2008" t="s">
        <v>292</v>
      </c>
      <c r="C15" s="531"/>
      <c r="D15" s="2011" t="s">
        <v>293</v>
      </c>
      <c r="E15" s="2012"/>
      <c r="F15" s="210" t="s">
        <v>294</v>
      </c>
      <c r="G15" s="211"/>
      <c r="H15" s="212"/>
      <c r="I15" s="213" t="s">
        <v>295</v>
      </c>
      <c r="J15" s="214"/>
      <c r="K15" s="214"/>
      <c r="L15" s="215"/>
      <c r="M15" s="216"/>
      <c r="N15" s="217"/>
    </row>
    <row r="16" spans="1:14" ht="27.6">
      <c r="A16" s="2006"/>
      <c r="B16" s="2009"/>
      <c r="C16" s="559"/>
      <c r="D16" s="2013"/>
      <c r="E16" s="2014"/>
      <c r="F16" s="218" t="s">
        <v>296</v>
      </c>
      <c r="G16" s="219"/>
      <c r="H16" s="220" t="s">
        <v>297</v>
      </c>
      <c r="I16" s="221" t="s">
        <v>298</v>
      </c>
      <c r="J16" s="222"/>
      <c r="K16" s="223"/>
      <c r="L16" s="604" t="s">
        <v>614</v>
      </c>
      <c r="M16" s="224"/>
      <c r="N16" s="1145"/>
    </row>
    <row r="17" spans="1:19" s="233" customFormat="1" ht="80.25" customHeight="1">
      <c r="A17" s="2007"/>
      <c r="B17" s="2010"/>
      <c r="C17" s="530"/>
      <c r="D17" s="79" t="s">
        <v>299</v>
      </c>
      <c r="E17" s="225" t="s">
        <v>300</v>
      </c>
      <c r="F17" s="226" t="s">
        <v>301</v>
      </c>
      <c r="G17" s="9" t="s">
        <v>302</v>
      </c>
      <c r="H17" s="227" t="s">
        <v>303</v>
      </c>
      <c r="I17" s="228" t="s">
        <v>304</v>
      </c>
      <c r="J17" s="79" t="s">
        <v>305</v>
      </c>
      <c r="K17" s="229" t="s">
        <v>103</v>
      </c>
      <c r="L17" s="230" t="s">
        <v>626</v>
      </c>
      <c r="M17" s="231" t="s">
        <v>305</v>
      </c>
      <c r="N17" s="232" t="s">
        <v>103</v>
      </c>
    </row>
    <row r="18" spans="1:19" s="245" customFormat="1" ht="28.5" customHeight="1">
      <c r="A18" s="234">
        <v>1</v>
      </c>
      <c r="B18" s="235">
        <v>2</v>
      </c>
      <c r="C18" s="235"/>
      <c r="D18" s="236">
        <v>3</v>
      </c>
      <c r="E18" s="237">
        <v>4</v>
      </c>
      <c r="F18" s="238">
        <v>5</v>
      </c>
      <c r="G18" s="236">
        <v>6</v>
      </c>
      <c r="H18" s="239">
        <v>7</v>
      </c>
      <c r="I18" s="240" t="s">
        <v>306</v>
      </c>
      <c r="J18" s="241" t="s">
        <v>307</v>
      </c>
      <c r="K18" s="242" t="s">
        <v>308</v>
      </c>
      <c r="L18" s="238">
        <v>11</v>
      </c>
      <c r="M18" s="236">
        <v>12</v>
      </c>
      <c r="N18" s="239">
        <v>13</v>
      </c>
      <c r="O18" s="243" t="s">
        <v>309</v>
      </c>
      <c r="P18" s="244"/>
      <c r="Q18" s="1149" t="s">
        <v>1083</v>
      </c>
      <c r="R18" s="1150"/>
      <c r="S18" s="1151"/>
    </row>
    <row r="19" spans="1:19" ht="17.399999999999999">
      <c r="A19" s="246" t="s">
        <v>310</v>
      </c>
      <c r="B19" s="183" t="s">
        <v>311</v>
      </c>
      <c r="C19" s="183"/>
      <c r="D19" s="247"/>
      <c r="E19" s="248"/>
      <c r="F19" s="249"/>
      <c r="G19" s="247"/>
      <c r="H19" s="250"/>
      <c r="I19" s="251" t="e">
        <f>'НВВ на содержание'!E8</f>
        <v>#REF!</v>
      </c>
      <c r="J19" s="252" t="e">
        <f>E40*E41/1000</f>
        <v>#REF!</v>
      </c>
      <c r="K19" s="253" t="e">
        <f>ROUND((I19+J19),1)</f>
        <v>#REF!</v>
      </c>
      <c r="L19" s="254"/>
      <c r="M19" s="255"/>
      <c r="N19" s="256">
        <f>N23-N31+N34</f>
        <v>20203.202561530001</v>
      </c>
      <c r="O19" s="243" t="e">
        <f>$E$40*$E$41/1000</f>
        <v>#REF!</v>
      </c>
      <c r="Q19" s="1149">
        <f>N23+K34-N32-K33</f>
        <v>20124.203227099999</v>
      </c>
      <c r="R19" s="1151"/>
      <c r="S19" s="1152"/>
    </row>
    <row r="20" spans="1:19" ht="16.2" thickBot="1">
      <c r="A20" s="257"/>
      <c r="B20" s="247" t="s">
        <v>312</v>
      </c>
      <c r="C20" s="247"/>
      <c r="D20" s="247"/>
      <c r="E20" s="248"/>
      <c r="F20" s="258"/>
      <c r="G20" s="259"/>
      <c r="H20" s="260"/>
      <c r="I20" s="577">
        <f>I23+I34-I31</f>
        <v>15915.315427000001</v>
      </c>
      <c r="J20" s="261">
        <f>ROUND((J23+J34-J31),1)</f>
        <v>4606.7</v>
      </c>
      <c r="K20" s="253">
        <f>ROUND((I20+J20),1)</f>
        <v>20522</v>
      </c>
      <c r="L20" s="262"/>
      <c r="M20" s="181"/>
      <c r="N20" s="263"/>
      <c r="Q20" s="243"/>
    </row>
    <row r="21" spans="1:19" ht="1.5" hidden="1" customHeight="1">
      <c r="A21" s="264"/>
      <c r="B21" s="265" t="s">
        <v>313</v>
      </c>
      <c r="C21" s="265"/>
      <c r="D21" s="265"/>
      <c r="E21" s="266"/>
      <c r="F21" s="267"/>
      <c r="G21" s="268"/>
      <c r="H21" s="269"/>
      <c r="I21" s="270" t="e">
        <f>K19-K20</f>
        <v>#REF!</v>
      </c>
      <c r="J21" s="271"/>
      <c r="K21" s="272"/>
      <c r="L21" s="273"/>
      <c r="M21" s="274"/>
      <c r="N21" s="275"/>
    </row>
    <row r="22" spans="1:19" ht="15.75" customHeight="1">
      <c r="A22" s="1989" t="s">
        <v>314</v>
      </c>
      <c r="B22" s="1991" t="s">
        <v>1076</v>
      </c>
      <c r="C22" s="1992"/>
      <c r="D22" s="1993"/>
      <c r="E22" s="1993"/>
      <c r="F22" s="276"/>
      <c r="G22" s="277"/>
      <c r="H22" s="278"/>
      <c r="I22" s="279" t="s">
        <v>315</v>
      </c>
      <c r="J22" s="280"/>
      <c r="K22" s="281"/>
      <c r="L22" s="282" t="s">
        <v>316</v>
      </c>
      <c r="M22" s="280"/>
      <c r="N22" s="283"/>
    </row>
    <row r="23" spans="1:19" ht="24" customHeight="1">
      <c r="A23" s="1990"/>
      <c r="B23" s="1994"/>
      <c r="C23" s="1995"/>
      <c r="D23" s="1995"/>
      <c r="E23" s="1995"/>
      <c r="F23" s="284"/>
      <c r="G23" s="285"/>
      <c r="H23" s="286"/>
      <c r="I23" s="287">
        <f>SUM(I25:I29)</f>
        <v>12519.332428320002</v>
      </c>
      <c r="J23" s="288">
        <f>SUM(J25:J29)</f>
        <v>3427.6656749999997</v>
      </c>
      <c r="K23" s="289">
        <f>I23+J23</f>
        <v>15946.998103320002</v>
      </c>
      <c r="L23" s="262"/>
      <c r="M23" s="181"/>
      <c r="N23" s="289">
        <f>SUM(N25:N29)</f>
        <v>15550.8</v>
      </c>
      <c r="O23" s="564">
        <f>N23-K23</f>
        <v>-396.1981033200027</v>
      </c>
      <c r="P23" s="578">
        <f>N19-K20</f>
        <v>-318.79743846999918</v>
      </c>
    </row>
    <row r="24" spans="1:19" ht="27.75" customHeight="1">
      <c r="A24" s="249"/>
      <c r="B24" s="247" t="s">
        <v>317</v>
      </c>
      <c r="C24" s="560" t="s">
        <v>616</v>
      </c>
      <c r="D24" s="1158">
        <f>SUM(D25:D29)</f>
        <v>1.2889999999999999</v>
      </c>
      <c r="E24" s="1159">
        <f>SUM(E25:E29)</f>
        <v>9928</v>
      </c>
      <c r="F24" s="249"/>
      <c r="G24" s="247"/>
      <c r="H24" s="250"/>
      <c r="I24" s="287"/>
      <c r="J24" s="288"/>
      <c r="K24" s="289"/>
      <c r="L24" s="262"/>
      <c r="M24" s="181"/>
      <c r="N24" s="289"/>
    </row>
    <row r="25" spans="1:19">
      <c r="A25" s="257"/>
      <c r="B25" s="291" t="s">
        <v>1075</v>
      </c>
      <c r="C25" s="1154">
        <f>E25/D25</f>
        <v>7579.1433891992547</v>
      </c>
      <c r="D25" s="1221">
        <v>0.53700000000000003</v>
      </c>
      <c r="E25" s="1222">
        <v>4070</v>
      </c>
      <c r="F25" s="292">
        <f>E62</f>
        <v>427956.36</v>
      </c>
      <c r="G25" s="293">
        <f>'изм.приказ 27 от 28.04.2011'!D42</f>
        <v>179.28</v>
      </c>
      <c r="H25" s="294">
        <f>'изм.приказ 27 от 28.04.2011'!F42</f>
        <v>789.41</v>
      </c>
      <c r="I25" s="520">
        <f>D25*F25*12/1000</f>
        <v>2757.7507838399997</v>
      </c>
      <c r="J25" s="520">
        <f>E25*G25/1000</f>
        <v>729.66959999999995</v>
      </c>
      <c r="K25" s="521">
        <f>I25+J25</f>
        <v>3487.4203838399999</v>
      </c>
      <c r="L25" s="1141"/>
      <c r="M25" s="520"/>
      <c r="N25" s="521">
        <f>ROUND((E25*H25/1000),1)</f>
        <v>3212.9</v>
      </c>
    </row>
    <row r="26" spans="1:19">
      <c r="A26" s="257"/>
      <c r="B26" s="291" t="s">
        <v>318</v>
      </c>
      <c r="C26" s="1154">
        <f>E26/D26</f>
        <v>7946.0972017673039</v>
      </c>
      <c r="D26" s="1158">
        <v>0.67900000000000005</v>
      </c>
      <c r="E26" s="1222">
        <v>5395.4</v>
      </c>
      <c r="F26" s="292">
        <f>E64</f>
        <v>1110334.72</v>
      </c>
      <c r="G26" s="293">
        <f>'изм.приказ 27 от 28.04.2011'!D44</f>
        <v>469.5</v>
      </c>
      <c r="H26" s="294">
        <f>'изм.приказ 27 от 28.04.2011'!F44</f>
        <v>2146.56</v>
      </c>
      <c r="I26" s="520">
        <f>D26*F26*12/1000</f>
        <v>9047.0072985600018</v>
      </c>
      <c r="J26" s="520">
        <f>E26*G26/1000</f>
        <v>2533.1403</v>
      </c>
      <c r="K26" s="521">
        <f>I26+J26</f>
        <v>11580.147598560001</v>
      </c>
      <c r="L26" s="1141"/>
      <c r="M26" s="520"/>
      <c r="N26" s="521">
        <f>ROUND((E26*H26/1000),1)</f>
        <v>11581.5</v>
      </c>
    </row>
    <row r="27" spans="1:19">
      <c r="A27" s="257"/>
      <c r="B27" s="295" t="s">
        <v>1074</v>
      </c>
      <c r="C27" s="1154">
        <f>E27/D27</f>
        <v>7158.6206896551721</v>
      </c>
      <c r="D27" s="1158">
        <v>2.9000000000000001E-2</v>
      </c>
      <c r="E27" s="1159">
        <v>207.6</v>
      </c>
      <c r="F27" s="292">
        <f>'изм.приказ 27 от 28.04.2011'!B45</f>
        <v>2019526.48</v>
      </c>
      <c r="G27" s="293">
        <f>'изм.приказ 27 от 28.04.2011'!D45</f>
        <v>535.79999999999995</v>
      </c>
      <c r="H27" s="294">
        <f>'изм.приказ 27 от 28.04.2011'!F45</f>
        <v>3325.91</v>
      </c>
      <c r="I27" s="520">
        <f>D27*F27*12/1000</f>
        <v>702.79521504000002</v>
      </c>
      <c r="J27" s="520">
        <f>E27*G27/1000</f>
        <v>111.23207999999998</v>
      </c>
      <c r="K27" s="521">
        <f>I27+J27</f>
        <v>814.02729504000001</v>
      </c>
      <c r="L27" s="1141"/>
      <c r="M27" s="520"/>
      <c r="N27" s="521">
        <f>ROUND((E27*H27/1000),1)</f>
        <v>690.5</v>
      </c>
    </row>
    <row r="28" spans="1:19" s="358" customFormat="1" ht="28.2">
      <c r="A28" s="257"/>
      <c r="B28" s="295" t="s">
        <v>1073</v>
      </c>
      <c r="C28" s="1154">
        <f>E28/D28</f>
        <v>5633.333333333333</v>
      </c>
      <c r="D28" s="1158">
        <v>3.0000000000000001E-3</v>
      </c>
      <c r="E28" s="1159">
        <v>16.899999999999999</v>
      </c>
      <c r="F28" s="292">
        <f>'изм.приказ 27 от 28.04.2011'!B46</f>
        <v>22308.959999999999</v>
      </c>
      <c r="G28" s="293">
        <f>'изм.приказ 27 от 28.04.2011'!D46</f>
        <v>210.28899999999999</v>
      </c>
      <c r="H28" s="294">
        <f>'изм.приказ 27 от 28.04.2011'!F46</f>
        <v>258.20999999999998</v>
      </c>
      <c r="I28" s="520">
        <f>D28*F28*12/1000</f>
        <v>0.80312256000000004</v>
      </c>
      <c r="J28" s="520">
        <f>E28*G28/1000</f>
        <v>3.5538840999999994</v>
      </c>
      <c r="K28" s="521">
        <f>I28+J28</f>
        <v>4.3570066599999997</v>
      </c>
      <c r="L28" s="1141"/>
      <c r="M28" s="520"/>
      <c r="N28" s="521">
        <f>ROUND((E28*H28/1000),1)</f>
        <v>4.4000000000000004</v>
      </c>
    </row>
    <row r="29" spans="1:19" s="358" customFormat="1" ht="28.8" thickBot="1">
      <c r="A29" s="368"/>
      <c r="B29" s="295" t="s">
        <v>319</v>
      </c>
      <c r="C29" s="582">
        <f>E29/D29</f>
        <v>5807.3170731707314</v>
      </c>
      <c r="D29" s="1223">
        <v>4.1000000000000002E-2</v>
      </c>
      <c r="E29" s="1224">
        <v>238.1</v>
      </c>
      <c r="F29" s="372">
        <f>F28</f>
        <v>22308.959999999999</v>
      </c>
      <c r="G29" s="373">
        <f>G28</f>
        <v>210.28899999999999</v>
      </c>
      <c r="H29" s="374">
        <f>G66</f>
        <v>258.20999999999998</v>
      </c>
      <c r="I29" s="298">
        <f>D29*F29*12/1000</f>
        <v>10.97600832</v>
      </c>
      <c r="J29" s="299">
        <f>E29*G29/1000</f>
        <v>50.0698109</v>
      </c>
      <c r="K29" s="300">
        <f>I29+J29</f>
        <v>61.045819219999998</v>
      </c>
      <c r="L29" s="298"/>
      <c r="M29" s="1142"/>
      <c r="N29" s="300">
        <f>ROUND((E29*H29/1000),1)</f>
        <v>61.5</v>
      </c>
      <c r="O29" s="13"/>
    </row>
    <row r="30" spans="1:19" ht="16.5" customHeight="1">
      <c r="A30" s="1996" t="s">
        <v>320</v>
      </c>
      <c r="B30" s="1997" t="s">
        <v>1077</v>
      </c>
      <c r="C30" s="1155"/>
      <c r="D30" s="301" t="s">
        <v>321</v>
      </c>
      <c r="E30" s="332"/>
      <c r="F30" s="334" t="s">
        <v>322</v>
      </c>
      <c r="G30" s="301"/>
      <c r="H30" s="301"/>
      <c r="I30" s="302" t="s">
        <v>315</v>
      </c>
      <c r="J30" s="303"/>
      <c r="K30" s="304"/>
      <c r="L30" s="282" t="s">
        <v>316</v>
      </c>
      <c r="M30" s="303"/>
      <c r="N30" s="304"/>
    </row>
    <row r="31" spans="1:19" ht="27.6">
      <c r="A31" s="1990"/>
      <c r="B31" s="1998"/>
      <c r="C31" s="1156"/>
      <c r="D31" s="231" t="s">
        <v>299</v>
      </c>
      <c r="E31" s="333" t="s">
        <v>300</v>
      </c>
      <c r="F31" s="335" t="s">
        <v>323</v>
      </c>
      <c r="G31" s="305" t="s">
        <v>35</v>
      </c>
      <c r="H31" s="376" t="s">
        <v>508</v>
      </c>
      <c r="I31" s="1141">
        <f>SUM(I32:I33)</f>
        <v>2127.6515377999999</v>
      </c>
      <c r="J31" s="520">
        <f>SUM(J32:J33)</f>
        <v>1646.4595171000001</v>
      </c>
      <c r="K31" s="1153">
        <f>SUM(K32:K33)</f>
        <v>3774.1110549</v>
      </c>
      <c r="L31" s="570">
        <f>SUM(L33:L33)</f>
        <v>0</v>
      </c>
      <c r="M31" s="431">
        <f>SUM(M33:M33)</f>
        <v>0</v>
      </c>
      <c r="N31" s="583">
        <f>SUM(N32:N33)</f>
        <v>3697.8145927999994</v>
      </c>
    </row>
    <row r="32" spans="1:19" ht="22.5" customHeight="1">
      <c r="A32" s="306">
        <v>1</v>
      </c>
      <c r="B32" s="247" t="s">
        <v>1079</v>
      </c>
      <c r="C32" s="581">
        <f>E32/D32</f>
        <v>8867.3333333333339</v>
      </c>
      <c r="D32" s="1146">
        <v>1.4999999999999999E-2</v>
      </c>
      <c r="E32" s="1147">
        <v>133.01</v>
      </c>
      <c r="F32" s="568">
        <v>279175.21000000002</v>
      </c>
      <c r="G32" s="569">
        <v>108.71</v>
      </c>
      <c r="H32" s="1148">
        <f>K32/E32*1000+12.17</f>
        <v>498.68270505977</v>
      </c>
      <c r="I32" s="262">
        <f>$D32*$F32*12/1000</f>
        <v>50.251537800000008</v>
      </c>
      <c r="J32" s="181">
        <f>$E32*$G32/1000</f>
        <v>14.459517099999998</v>
      </c>
      <c r="K32" s="263">
        <f>I32+J32</f>
        <v>64.711054900000008</v>
      </c>
      <c r="L32" s="431"/>
      <c r="M32" s="431"/>
      <c r="N32" s="558">
        <f>E32*H32/1000</f>
        <v>66.329786600000006</v>
      </c>
    </row>
    <row r="33" spans="1:15" ht="22.5" customHeight="1" thickBot="1">
      <c r="A33" s="306">
        <v>1</v>
      </c>
      <c r="B33" s="247" t="s">
        <v>1080</v>
      </c>
      <c r="C33" s="581">
        <f>E33/D33</f>
        <v>8745.2795698924729</v>
      </c>
      <c r="D33" s="290">
        <v>9.2999999999999999E-2</v>
      </c>
      <c r="E33" s="1137">
        <v>813.31100000000004</v>
      </c>
      <c r="F33" s="568">
        <v>1861465.03</v>
      </c>
      <c r="G33" s="569">
        <v>2006.61</v>
      </c>
      <c r="H33" s="1148">
        <f>K33/E33*1000-95.8</f>
        <v>4465.0629417283171</v>
      </c>
      <c r="I33" s="520">
        <f>ROUND(($D$33*$F$33*12/1000),1)</f>
        <v>2077.4</v>
      </c>
      <c r="J33" s="520">
        <f>ROUND(($E$33*$G$33/1000),1)</f>
        <v>1632</v>
      </c>
      <c r="K33" s="521">
        <f>I33+J33</f>
        <v>3709.4</v>
      </c>
      <c r="L33" s="431"/>
      <c r="M33" s="431"/>
      <c r="N33" s="558">
        <f>E33*H33/1000</f>
        <v>3631.4848061999996</v>
      </c>
    </row>
    <row r="34" spans="1:15" ht="47.4" thickBot="1">
      <c r="A34" s="592" t="s">
        <v>325</v>
      </c>
      <c r="B34" s="593" t="s">
        <v>1078</v>
      </c>
      <c r="C34" s="1157"/>
      <c r="D34" s="594"/>
      <c r="E34" s="595"/>
      <c r="F34" s="596" t="s">
        <v>323</v>
      </c>
      <c r="G34" s="597" t="s">
        <v>35</v>
      </c>
      <c r="H34" s="598" t="s">
        <v>35</v>
      </c>
      <c r="I34" s="599">
        <f>SUM(I35:I37)</f>
        <v>5523.63453648</v>
      </c>
      <c r="J34" s="600">
        <f>SUM(J35:J37)</f>
        <v>2825.49847722</v>
      </c>
      <c r="K34" s="601">
        <f>SUM(K35:K37)</f>
        <v>8349.1330137000004</v>
      </c>
      <c r="L34" s="602">
        <f>SUM(L36:L37)</f>
        <v>0</v>
      </c>
      <c r="M34" s="603">
        <f>SUM(M36:M37)</f>
        <v>0</v>
      </c>
      <c r="N34" s="601">
        <f>SUM(N35:N37)</f>
        <v>8350.217154330001</v>
      </c>
    </row>
    <row r="35" spans="1:15">
      <c r="A35" s="584">
        <v>1</v>
      </c>
      <c r="B35" s="330" t="s">
        <v>324</v>
      </c>
      <c r="C35" s="585">
        <f>E35/D35</f>
        <v>8292.3407526388255</v>
      </c>
      <c r="D35" s="1143">
        <f>D24+D36+D37+D32+D33+G40</f>
        <v>4.3579999999999997</v>
      </c>
      <c r="E35" s="1143">
        <f>E24+E36+E37+E32+E33+E40</f>
        <v>36138.021000000001</v>
      </c>
      <c r="F35" s="586">
        <v>451.08</v>
      </c>
      <c r="G35" s="587">
        <v>0.82</v>
      </c>
      <c r="H35" s="1148">
        <f>K35/E35*1000+0.03</f>
        <v>1.5027662286764401</v>
      </c>
      <c r="I35" s="588">
        <f>$D$35*$F$35*12/1000</f>
        <v>23.589679679999996</v>
      </c>
      <c r="J35" s="589">
        <f>$E$35*$G$35/1000</f>
        <v>29.633177219999997</v>
      </c>
      <c r="K35" s="590">
        <f>I35+J35</f>
        <v>53.222856899999996</v>
      </c>
      <c r="L35" s="591"/>
      <c r="M35" s="589"/>
      <c r="N35" s="590">
        <f>E35*H35/1000</f>
        <v>54.306997529999997</v>
      </c>
    </row>
    <row r="36" spans="1:15">
      <c r="A36" s="331">
        <v>2</v>
      </c>
      <c r="B36" s="247" t="s">
        <v>350</v>
      </c>
      <c r="C36" s="581">
        <f>E36/D36</f>
        <v>8650.9803921568637</v>
      </c>
      <c r="D36" s="290">
        <v>2.5499999999999998</v>
      </c>
      <c r="E36" s="561">
        <v>22060</v>
      </c>
      <c r="F36" s="571">
        <v>169906.8</v>
      </c>
      <c r="G36" s="572">
        <v>114.55</v>
      </c>
      <c r="H36" s="573">
        <f>K36/E36*1000</f>
        <v>350.23214324569358</v>
      </c>
      <c r="I36" s="262">
        <f>$D36*$F36*12/1000</f>
        <v>5199.1480799999999</v>
      </c>
      <c r="J36" s="181">
        <f>$E36*$G36/1000</f>
        <v>2526.973</v>
      </c>
      <c r="K36" s="263">
        <f>I36+J36</f>
        <v>7726.1210799999999</v>
      </c>
      <c r="L36" s="371"/>
      <c r="M36" s="181"/>
      <c r="N36" s="263">
        <f>E36*H36/1000</f>
        <v>7726.1210799999999</v>
      </c>
    </row>
    <row r="37" spans="1:15" ht="16.2" thickBot="1">
      <c r="A37" s="307">
        <v>3</v>
      </c>
      <c r="B37" s="259" t="s">
        <v>1081</v>
      </c>
      <c r="C37" s="582">
        <f>E37/D37</f>
        <v>6607.8431372549021</v>
      </c>
      <c r="D37" s="296">
        <v>0.10199999999999999</v>
      </c>
      <c r="E37" s="562">
        <v>674</v>
      </c>
      <c r="F37" s="574">
        <v>245830.7</v>
      </c>
      <c r="G37" s="575">
        <v>398.95</v>
      </c>
      <c r="H37" s="576">
        <f>K37/E37*1000</f>
        <v>845.38438694362014</v>
      </c>
      <c r="I37" s="567">
        <f>$D$37*$F$37*12/1000</f>
        <v>300.8967768</v>
      </c>
      <c r="J37" s="566">
        <f>$E$37*$G$37/1000</f>
        <v>268.89229999999998</v>
      </c>
      <c r="K37" s="605">
        <f>I37+J37</f>
        <v>569.78907679999998</v>
      </c>
      <c r="L37" s="579"/>
      <c r="M37" s="580"/>
      <c r="N37" s="300">
        <f>E37*H37/1000</f>
        <v>569.78907679999998</v>
      </c>
    </row>
    <row r="38" spans="1:15" hidden="1">
      <c r="F38" s="78"/>
      <c r="G38" s="78"/>
      <c r="H38" s="78"/>
      <c r="L38" s="13"/>
      <c r="M38" s="13"/>
      <c r="N38" s="13"/>
    </row>
    <row r="39" spans="1:15">
      <c r="B39" s="44" t="s">
        <v>257</v>
      </c>
      <c r="C39" s="44"/>
      <c r="L39" s="13"/>
      <c r="M39" s="13"/>
      <c r="N39" s="13"/>
    </row>
    <row r="40" spans="1:15">
      <c r="D40" s="44" t="s">
        <v>1082</v>
      </c>
      <c r="E40" s="1229">
        <v>2529.6999999999998</v>
      </c>
      <c r="F40" s="13" t="s">
        <v>326</v>
      </c>
      <c r="G40" s="13">
        <f>0.309</f>
        <v>0.309</v>
      </c>
      <c r="H40" s="563">
        <f>E36+E37+E29+E40</f>
        <v>25501.8</v>
      </c>
      <c r="L40" s="13"/>
      <c r="M40" s="13"/>
      <c r="N40" s="13"/>
    </row>
    <row r="41" spans="1:15">
      <c r="D41" s="44" t="s">
        <v>327</v>
      </c>
      <c r="E41" s="308" t="e">
        <f>#REF!</f>
        <v>#REF!</v>
      </c>
      <c r="F41" s="13" t="s">
        <v>328</v>
      </c>
      <c r="L41" s="13"/>
      <c r="M41" s="13"/>
      <c r="N41" s="13"/>
    </row>
    <row r="42" spans="1:15" hidden="1"/>
    <row r="43" spans="1:15" hidden="1">
      <c r="E43" s="13" t="s">
        <v>328</v>
      </c>
      <c r="G43" s="377" t="s">
        <v>623</v>
      </c>
      <c r="H43" s="377"/>
      <c r="I43" s="377"/>
      <c r="J43" s="377"/>
      <c r="K43" s="377"/>
    </row>
    <row r="44" spans="1:15" hidden="1">
      <c r="E44" s="384"/>
      <c r="F44" s="383"/>
      <c r="G44" s="378" t="s">
        <v>322</v>
      </c>
      <c r="H44" s="378"/>
      <c r="I44" s="378"/>
      <c r="J44" s="382" t="s">
        <v>509</v>
      </c>
      <c r="K44" s="382"/>
      <c r="L44" s="13"/>
      <c r="M44" s="13"/>
      <c r="N44" s="13"/>
      <c r="O44" s="309"/>
    </row>
    <row r="45" spans="1:15" ht="27" hidden="1">
      <c r="E45" s="384"/>
      <c r="F45" s="383"/>
      <c r="G45" s="379" t="s">
        <v>323</v>
      </c>
      <c r="H45" s="379" t="s">
        <v>35</v>
      </c>
      <c r="I45" s="380" t="s">
        <v>508</v>
      </c>
      <c r="J45" s="377"/>
      <c r="K45" s="377"/>
      <c r="L45" s="13"/>
      <c r="M45" s="13"/>
      <c r="N45" s="13"/>
      <c r="O45" s="310"/>
    </row>
    <row r="46" spans="1:15" hidden="1">
      <c r="E46" s="384"/>
      <c r="F46" s="383"/>
      <c r="G46" s="125"/>
      <c r="H46" s="125"/>
      <c r="I46" s="125"/>
      <c r="J46" s="377"/>
      <c r="K46" s="377"/>
      <c r="L46" s="13"/>
      <c r="M46" s="13"/>
      <c r="N46" s="13"/>
      <c r="O46" s="309"/>
    </row>
    <row r="47" spans="1:15" hidden="1">
      <c r="E47" s="384"/>
      <c r="F47" s="383" t="s">
        <v>624</v>
      </c>
      <c r="G47" s="125"/>
      <c r="H47" s="125"/>
      <c r="I47" s="125"/>
      <c r="J47" s="377"/>
      <c r="K47" s="377"/>
    </row>
    <row r="48" spans="1:15" hidden="1">
      <c r="E48" s="384"/>
      <c r="F48" s="383" t="s">
        <v>324</v>
      </c>
      <c r="G48" s="381"/>
      <c r="H48" s="381"/>
      <c r="I48" s="381"/>
      <c r="J48" s="377"/>
      <c r="K48" s="381"/>
    </row>
    <row r="49" spans="2:14" hidden="1">
      <c r="E49" s="384"/>
      <c r="F49" s="383" t="s">
        <v>350</v>
      </c>
      <c r="G49" s="381"/>
      <c r="H49" s="381"/>
      <c r="I49" s="381"/>
      <c r="J49" s="377"/>
      <c r="K49" s="381"/>
    </row>
    <row r="50" spans="2:14" hidden="1">
      <c r="E50" s="384"/>
      <c r="F50" s="383" t="s">
        <v>621</v>
      </c>
      <c r="G50" s="381"/>
      <c r="H50" s="381"/>
      <c r="I50" s="381"/>
      <c r="J50" s="377"/>
      <c r="K50" s="381"/>
    </row>
    <row r="51" spans="2:14" hidden="1">
      <c r="E51" s="384"/>
      <c r="F51" s="383" t="s">
        <v>186</v>
      </c>
      <c r="G51" s="381"/>
      <c r="H51" s="381"/>
      <c r="I51" s="381"/>
      <c r="J51" s="377"/>
      <c r="K51" s="381"/>
    </row>
    <row r="52" spans="2:14" hidden="1"/>
    <row r="53" spans="2:14" hidden="1"/>
    <row r="54" spans="2:14" hidden="1">
      <c r="K54" s="78"/>
      <c r="L54" s="13"/>
      <c r="M54" s="13"/>
      <c r="N54" s="13"/>
    </row>
    <row r="55" spans="2:14" hidden="1"/>
    <row r="56" spans="2:14" hidden="1"/>
    <row r="57" spans="2:14" ht="12.75" customHeight="1">
      <c r="B57" s="4" t="s">
        <v>631</v>
      </c>
      <c r="C57" s="4"/>
      <c r="D57" s="4"/>
      <c r="E57" s="4"/>
      <c r="F57" s="4"/>
      <c r="G57" s="100"/>
      <c r="H57" s="101"/>
    </row>
    <row r="58" spans="2:14">
      <c r="B58" s="1987" t="s">
        <v>242</v>
      </c>
      <c r="C58" s="6"/>
      <c r="D58" s="6"/>
      <c r="E58" s="2000" t="s">
        <v>243</v>
      </c>
      <c r="F58" s="17" t="s">
        <v>244</v>
      </c>
      <c r="G58" s="1987" t="s">
        <v>245</v>
      </c>
      <c r="H58" s="4"/>
    </row>
    <row r="59" spans="2:14" ht="66.599999999999994">
      <c r="B59" s="1999"/>
      <c r="C59" s="11"/>
      <c r="D59" s="11"/>
      <c r="E59" s="2001"/>
      <c r="F59" s="17" t="s">
        <v>246</v>
      </c>
      <c r="G59" s="1988"/>
      <c r="H59" s="4"/>
    </row>
    <row r="60" spans="2:14" ht="16.8">
      <c r="B60" s="1999"/>
      <c r="C60" s="11"/>
      <c r="D60" s="11"/>
      <c r="E60" s="81" t="s">
        <v>247</v>
      </c>
      <c r="F60" s="81" t="s">
        <v>248</v>
      </c>
      <c r="G60" s="9"/>
      <c r="H60" s="101" t="s">
        <v>241</v>
      </c>
    </row>
    <row r="61" spans="2:14" ht="15.75" customHeight="1">
      <c r="B61" s="1988"/>
      <c r="C61" s="7"/>
      <c r="D61" s="7"/>
      <c r="E61" s="9" t="s">
        <v>44</v>
      </c>
      <c r="F61" s="9" t="s">
        <v>249</v>
      </c>
      <c r="G61" s="9" t="s">
        <v>249</v>
      </c>
      <c r="H61" s="100"/>
    </row>
    <row r="62" spans="2:14">
      <c r="B62" s="9" t="s">
        <v>226</v>
      </c>
      <c r="C62" s="538"/>
      <c r="D62" s="538"/>
      <c r="E62" s="1227">
        <f>'изм.приказ 27 от 28.04.2011'!B42</f>
        <v>427956.36</v>
      </c>
      <c r="F62" s="1227">
        <f>'изм.приказ 27 от 28.04.2011'!D42</f>
        <v>179.28</v>
      </c>
      <c r="G62" s="1227">
        <f>'изм.приказ 27 от 28.04.2011'!F42</f>
        <v>789.41</v>
      </c>
      <c r="H62" s="540">
        <f>(E62*12/(G62-F62))</f>
        <v>8417.0198482290671</v>
      </c>
    </row>
    <row r="63" spans="2:14">
      <c r="B63" s="9" t="s">
        <v>211</v>
      </c>
      <c r="C63" s="9"/>
      <c r="D63" s="1163"/>
      <c r="E63" s="191">
        <f>'изм.приказ 27 от 28.04.2011'!B43</f>
        <v>781756.21</v>
      </c>
      <c r="F63" s="191">
        <f>'изм.приказ 27 от 28.04.2011'!D43</f>
        <v>191.71</v>
      </c>
      <c r="G63" s="191">
        <f>'изм.приказ 27 от 28.04.2011'!F43</f>
        <v>1324.32</v>
      </c>
      <c r="H63" s="100">
        <f>(E63*12/(G63-F63))</f>
        <v>8282.7050087850184</v>
      </c>
    </row>
    <row r="64" spans="2:14">
      <c r="B64" s="17" t="s">
        <v>253</v>
      </c>
      <c r="C64" s="17"/>
      <c r="D64" s="1225"/>
      <c r="E64" s="191">
        <f>'изм.приказ 27 от 28.04.2011'!B44</f>
        <v>1110334.72</v>
      </c>
      <c r="F64" s="191">
        <f>'изм.приказ 27 от 28.04.2011'!D44</f>
        <v>469.5</v>
      </c>
      <c r="G64" s="191">
        <f>'изм.приказ 27 от 28.04.2011'!F44</f>
        <v>2146.56</v>
      </c>
      <c r="H64" s="100">
        <f>(E64*12/(G64-F64))</f>
        <v>7944.8658008658012</v>
      </c>
    </row>
    <row r="65" spans="2:8">
      <c r="B65" s="9" t="s">
        <v>215</v>
      </c>
      <c r="C65" s="538"/>
      <c r="D65" s="538"/>
      <c r="E65" s="1228">
        <f>'изм.приказ 27 от 28.04.2011'!B45</f>
        <v>2019526.48</v>
      </c>
      <c r="F65" s="1228">
        <f>'изм.приказ 27 от 28.04.2011'!D45</f>
        <v>535.79999999999995</v>
      </c>
      <c r="G65" s="1228">
        <f>'изм.приказ 27 от 28.04.2011'!F45</f>
        <v>3325.91</v>
      </c>
      <c r="H65" s="540">
        <f>(E65*12/(G65-F65))</f>
        <v>8685.7929472314718</v>
      </c>
    </row>
    <row r="66" spans="2:8">
      <c r="B66" s="341" t="s">
        <v>352</v>
      </c>
      <c r="C66" s="341"/>
      <c r="D66" s="1226"/>
      <c r="E66" s="342">
        <f>'изм.приказ 27 от 28.04.2011'!B46</f>
        <v>22308.959999999999</v>
      </c>
      <c r="F66" s="342">
        <f>'изм.приказ 27 от 28.04.2011'!D46</f>
        <v>210.28899999999999</v>
      </c>
      <c r="G66" s="342">
        <f>'изм.приказ 27 от 28.04.2011'!F46</f>
        <v>258.20999999999998</v>
      </c>
      <c r="H66" s="196">
        <f>(E66*12/(G66-F66))</f>
        <v>5586.4343398510064</v>
      </c>
    </row>
    <row r="67" spans="2:8">
      <c r="B67" s="47"/>
      <c r="C67" s="47"/>
      <c r="D67" s="47"/>
      <c r="E67" s="47"/>
      <c r="F67" s="47"/>
      <c r="G67" s="47"/>
      <c r="H67" s="47"/>
    </row>
  </sheetData>
  <mergeCells count="14">
    <mergeCell ref="G58:G59"/>
    <mergeCell ref="A22:A23"/>
    <mergeCell ref="B22:E23"/>
    <mergeCell ref="A30:A31"/>
    <mergeCell ref="B30:B31"/>
    <mergeCell ref="B58:B61"/>
    <mergeCell ref="E58:E59"/>
    <mergeCell ref="B6:B9"/>
    <mergeCell ref="D6:D7"/>
    <mergeCell ref="E6:E7"/>
    <mergeCell ref="F6:F7"/>
    <mergeCell ref="A15:A17"/>
    <mergeCell ref="B15:B17"/>
    <mergeCell ref="D15:E16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S67"/>
  <sheetViews>
    <sheetView topLeftCell="A22" zoomScaleNormal="100" workbookViewId="0">
      <selection activeCell="K8" sqref="K8"/>
    </sheetView>
  </sheetViews>
  <sheetFormatPr defaultColWidth="9.109375" defaultRowHeight="15.6"/>
  <cols>
    <col min="1" max="1" width="6" style="13" customWidth="1"/>
    <col min="2" max="2" width="42.6640625" style="13" customWidth="1"/>
    <col min="3" max="3" width="7.6640625" style="13" customWidth="1"/>
    <col min="4" max="4" width="11.109375" style="13" customWidth="1"/>
    <col min="5" max="5" width="12.44140625" style="13" customWidth="1"/>
    <col min="6" max="6" width="12.88671875" style="13" customWidth="1"/>
    <col min="7" max="7" width="12.44140625" style="13" customWidth="1"/>
    <col min="8" max="8" width="11" style="13" customWidth="1"/>
    <col min="9" max="9" width="13.109375" style="13" customWidth="1"/>
    <col min="10" max="10" width="10.44140625" style="13" customWidth="1"/>
    <col min="11" max="11" width="12" style="13" customWidth="1"/>
    <col min="12" max="13" width="9" style="78" customWidth="1"/>
    <col min="14" max="14" width="12.5546875" style="78" bestFit="1" customWidth="1"/>
    <col min="15" max="15" width="9.109375" style="13"/>
    <col min="16" max="16" width="10.44140625" style="13" customWidth="1"/>
    <col min="17" max="18" width="9.109375" style="13"/>
    <col min="19" max="19" width="11.6640625" style="13" customWidth="1"/>
    <col min="20" max="16384" width="9.109375" style="13"/>
  </cols>
  <sheetData>
    <row r="1" spans="1:14">
      <c r="A1" s="49" t="s">
        <v>622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97"/>
      <c r="M1" s="197"/>
      <c r="N1" s="197"/>
    </row>
    <row r="2" spans="1:14">
      <c r="A2" s="49" t="s">
        <v>628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197"/>
      <c r="M2" s="197"/>
      <c r="N2" s="197"/>
    </row>
    <row r="3" spans="1:14" ht="16.2" thickBot="1">
      <c r="A3" s="49"/>
      <c r="B3" s="55"/>
      <c r="C3" s="55"/>
      <c r="D3" s="55"/>
      <c r="E3" s="55"/>
      <c r="F3" s="55"/>
      <c r="G3" s="55"/>
      <c r="H3" s="55"/>
      <c r="I3" s="55"/>
      <c r="J3" s="55"/>
      <c r="K3" s="55"/>
      <c r="L3" s="197"/>
      <c r="M3" s="197"/>
      <c r="N3" s="197"/>
    </row>
    <row r="4" spans="1:14" ht="16.2" hidden="1" thickBot="1">
      <c r="B4" s="198" t="s">
        <v>286</v>
      </c>
      <c r="C4" s="198"/>
      <c r="D4" s="78"/>
      <c r="E4" s="78"/>
      <c r="F4" s="78"/>
      <c r="G4" s="78"/>
      <c r="H4" s="78"/>
      <c r="I4" s="78"/>
    </row>
    <row r="5" spans="1:14" ht="16.2" hidden="1" thickBot="1">
      <c r="B5" s="78"/>
      <c r="C5" s="78"/>
      <c r="D5" s="78"/>
      <c r="E5" s="78"/>
      <c r="H5" s="78"/>
      <c r="I5" s="78"/>
    </row>
    <row r="6" spans="1:14" ht="27.75" hidden="1" customHeight="1">
      <c r="B6" s="1975" t="s">
        <v>242</v>
      </c>
      <c r="C6" s="527"/>
      <c r="D6" s="2002" t="s">
        <v>243</v>
      </c>
      <c r="E6" s="2002" t="s">
        <v>288</v>
      </c>
      <c r="F6" s="2004" t="s">
        <v>245</v>
      </c>
    </row>
    <row r="7" spans="1:14" ht="48" hidden="1" customHeight="1">
      <c r="B7" s="1976"/>
      <c r="C7" s="528"/>
      <c r="D7" s="2003"/>
      <c r="E7" s="2003"/>
      <c r="F7" s="2004"/>
    </row>
    <row r="8" spans="1:14" ht="18.600000000000001" hidden="1" thickBot="1">
      <c r="B8" s="1976"/>
      <c r="C8" s="528"/>
      <c r="D8" s="199" t="s">
        <v>289</v>
      </c>
      <c r="E8" s="199" t="s">
        <v>290</v>
      </c>
      <c r="F8" s="35"/>
    </row>
    <row r="9" spans="1:14" ht="31.8" hidden="1" thickBot="1">
      <c r="B9" s="1977"/>
      <c r="C9" s="529"/>
      <c r="D9" s="35" t="s">
        <v>44</v>
      </c>
      <c r="E9" s="35" t="s">
        <v>35</v>
      </c>
      <c r="F9" s="35" t="s">
        <v>35</v>
      </c>
      <c r="G9" s="198" t="s">
        <v>241</v>
      </c>
    </row>
    <row r="10" spans="1:14" ht="16.2" hidden="1" thickBot="1">
      <c r="B10" s="35" t="s">
        <v>226</v>
      </c>
      <c r="C10" s="35"/>
      <c r="D10" s="200">
        <v>300621.82</v>
      </c>
      <c r="E10" s="200">
        <v>176.8</v>
      </c>
      <c r="F10" s="201">
        <v>592.41</v>
      </c>
      <c r="G10" s="202">
        <f>(D10*12/(F10-E10))</f>
        <v>8679.9206948822211</v>
      </c>
    </row>
    <row r="11" spans="1:14" ht="16.2" hidden="1" thickBot="1">
      <c r="B11" s="35" t="s">
        <v>211</v>
      </c>
      <c r="C11" s="35"/>
      <c r="D11" s="200">
        <v>490793.23</v>
      </c>
      <c r="E11" s="200">
        <v>180</v>
      </c>
      <c r="F11" s="201">
        <v>969.48</v>
      </c>
      <c r="G11" s="202">
        <f>(D11*12/(F11-E11))</f>
        <v>7459.9974160206712</v>
      </c>
      <c r="H11" s="203"/>
      <c r="I11" s="204"/>
      <c r="L11" s="205"/>
    </row>
    <row r="12" spans="1:14" ht="16.2" hidden="1" thickBot="1">
      <c r="B12" s="206" t="s">
        <v>253</v>
      </c>
      <c r="C12" s="206"/>
      <c r="D12" s="200">
        <v>680321</v>
      </c>
      <c r="E12" s="200">
        <v>210</v>
      </c>
      <c r="F12" s="201">
        <v>1441.35</v>
      </c>
      <c r="G12" s="202">
        <f>(D12*12/(F12-E12))</f>
        <v>6630.0012181751745</v>
      </c>
      <c r="H12" s="44" t="s">
        <v>291</v>
      </c>
    </row>
    <row r="13" spans="1:14" ht="16.2" hidden="1" thickBot="1">
      <c r="B13" s="35" t="s">
        <v>215</v>
      </c>
      <c r="C13" s="35"/>
      <c r="D13" s="200">
        <v>851305.82</v>
      </c>
      <c r="E13" s="200">
        <v>432</v>
      </c>
      <c r="F13" s="201">
        <v>2296.17</v>
      </c>
      <c r="G13" s="202">
        <f>(D13*12/(F13-E13))</f>
        <v>5480.0097845153605</v>
      </c>
      <c r="H13" s="207">
        <f>(365-53)*16</f>
        <v>4992</v>
      </c>
      <c r="I13" s="13" t="s">
        <v>285</v>
      </c>
      <c r="L13" s="78" t="s">
        <v>285</v>
      </c>
    </row>
    <row r="14" spans="1:14" ht="16.2" hidden="1" thickBot="1">
      <c r="B14" s="39"/>
      <c r="C14" s="39"/>
      <c r="D14" s="208"/>
      <c r="E14" s="208"/>
      <c r="F14" s="209"/>
      <c r="G14" s="202"/>
      <c r="H14" s="207"/>
    </row>
    <row r="15" spans="1:14" ht="16.2" thickBot="1">
      <c r="A15" s="2005"/>
      <c r="B15" s="2008" t="s">
        <v>292</v>
      </c>
      <c r="C15" s="531"/>
      <c r="D15" s="2011" t="s">
        <v>293</v>
      </c>
      <c r="E15" s="2012"/>
      <c r="F15" s="210" t="s">
        <v>294</v>
      </c>
      <c r="G15" s="211"/>
      <c r="H15" s="212"/>
      <c r="I15" s="213" t="s">
        <v>295</v>
      </c>
      <c r="J15" s="214"/>
      <c r="K15" s="214"/>
      <c r="L15" s="215"/>
      <c r="M15" s="216"/>
      <c r="N15" s="217"/>
    </row>
    <row r="16" spans="1:14" ht="27.6">
      <c r="A16" s="2006"/>
      <c r="B16" s="2009"/>
      <c r="C16" s="559"/>
      <c r="D16" s="2013"/>
      <c r="E16" s="2014"/>
      <c r="F16" s="218" t="s">
        <v>296</v>
      </c>
      <c r="G16" s="219"/>
      <c r="H16" s="220" t="s">
        <v>297</v>
      </c>
      <c r="I16" s="221" t="s">
        <v>298</v>
      </c>
      <c r="J16" s="222"/>
      <c r="K16" s="223"/>
      <c r="L16" s="604" t="s">
        <v>614</v>
      </c>
      <c r="M16" s="224"/>
      <c r="N16" s="1145"/>
    </row>
    <row r="17" spans="1:19" s="233" customFormat="1" ht="80.25" customHeight="1">
      <c r="A17" s="2007"/>
      <c r="B17" s="2010"/>
      <c r="C17" s="530"/>
      <c r="D17" s="79" t="s">
        <v>299</v>
      </c>
      <c r="E17" s="225" t="s">
        <v>300</v>
      </c>
      <c r="F17" s="226" t="s">
        <v>301</v>
      </c>
      <c r="G17" s="9" t="s">
        <v>302</v>
      </c>
      <c r="H17" s="227" t="s">
        <v>303</v>
      </c>
      <c r="I17" s="228" t="s">
        <v>304</v>
      </c>
      <c r="J17" s="79" t="s">
        <v>305</v>
      </c>
      <c r="K17" s="229" t="s">
        <v>103</v>
      </c>
      <c r="L17" s="230" t="s">
        <v>626</v>
      </c>
      <c r="M17" s="231" t="s">
        <v>305</v>
      </c>
      <c r="N17" s="232" t="s">
        <v>103</v>
      </c>
    </row>
    <row r="18" spans="1:19" s="245" customFormat="1" ht="28.5" customHeight="1">
      <c r="A18" s="234">
        <v>1</v>
      </c>
      <c r="B18" s="235">
        <v>2</v>
      </c>
      <c r="C18" s="235"/>
      <c r="D18" s="236">
        <v>3</v>
      </c>
      <c r="E18" s="237">
        <v>4</v>
      </c>
      <c r="F18" s="238">
        <v>5</v>
      </c>
      <c r="G18" s="236">
        <v>6</v>
      </c>
      <c r="H18" s="239">
        <v>7</v>
      </c>
      <c r="I18" s="240" t="s">
        <v>306</v>
      </c>
      <c r="J18" s="241" t="s">
        <v>307</v>
      </c>
      <c r="K18" s="242" t="s">
        <v>308</v>
      </c>
      <c r="L18" s="238">
        <v>11</v>
      </c>
      <c r="M18" s="236">
        <v>12</v>
      </c>
      <c r="N18" s="239">
        <v>13</v>
      </c>
      <c r="O18" s="243" t="s">
        <v>309</v>
      </c>
      <c r="P18" s="244"/>
      <c r="Q18" s="1149" t="s">
        <v>1083</v>
      </c>
      <c r="R18" s="1150"/>
      <c r="S18" s="1151"/>
    </row>
    <row r="19" spans="1:19" ht="17.399999999999999">
      <c r="A19" s="246" t="s">
        <v>310</v>
      </c>
      <c r="B19" s="183" t="s">
        <v>311</v>
      </c>
      <c r="C19" s="183"/>
      <c r="D19" s="247"/>
      <c r="E19" s="248"/>
      <c r="F19" s="249"/>
      <c r="G19" s="247"/>
      <c r="H19" s="250"/>
      <c r="I19" s="251">
        <f>'НВВ на содержание'!G8</f>
        <v>2006.8</v>
      </c>
      <c r="J19" s="252" t="e">
        <f>E40*E41/1000</f>
        <v>#REF!</v>
      </c>
      <c r="K19" s="253" t="e">
        <f>ROUND((I19+J19),1)</f>
        <v>#REF!</v>
      </c>
      <c r="L19" s="254"/>
      <c r="M19" s="255"/>
      <c r="N19" s="256">
        <f>N23-N31+N34</f>
        <v>12175.822219614347</v>
      </c>
      <c r="O19" s="243" t="e">
        <f>$E$40*$E$41/1000</f>
        <v>#REF!</v>
      </c>
      <c r="Q19" s="1149">
        <f>N23+K34-N32-K33</f>
        <v>12085.478279936928</v>
      </c>
      <c r="R19" s="1151"/>
      <c r="S19" s="1152"/>
    </row>
    <row r="20" spans="1:19" ht="16.2" thickBot="1">
      <c r="A20" s="257"/>
      <c r="B20" s="247" t="s">
        <v>312</v>
      </c>
      <c r="C20" s="247"/>
      <c r="D20" s="247"/>
      <c r="E20" s="248"/>
      <c r="F20" s="258"/>
      <c r="G20" s="259"/>
      <c r="H20" s="260"/>
      <c r="I20" s="577" t="e">
        <f>I23+I34-I31</f>
        <v>#REF!</v>
      </c>
      <c r="J20" s="261">
        <f>ROUND((J23+J34-J31),1)</f>
        <v>2970.5</v>
      </c>
      <c r="K20" s="253" t="e">
        <f>ROUND((I20+J20),1)</f>
        <v>#REF!</v>
      </c>
      <c r="L20" s="262"/>
      <c r="M20" s="181"/>
      <c r="N20" s="263"/>
      <c r="Q20" s="243"/>
    </row>
    <row r="21" spans="1:19" ht="1.5" hidden="1" customHeight="1">
      <c r="A21" s="264"/>
      <c r="B21" s="265" t="s">
        <v>313</v>
      </c>
      <c r="C21" s="265"/>
      <c r="D21" s="265"/>
      <c r="E21" s="266"/>
      <c r="F21" s="267"/>
      <c r="G21" s="268"/>
      <c r="H21" s="269"/>
      <c r="I21" s="270" t="e">
        <f>K19-K20</f>
        <v>#REF!</v>
      </c>
      <c r="J21" s="271"/>
      <c r="K21" s="272"/>
      <c r="L21" s="273"/>
      <c r="M21" s="274"/>
      <c r="N21" s="275"/>
    </row>
    <row r="22" spans="1:19" ht="15.75" customHeight="1">
      <c r="A22" s="1989" t="s">
        <v>314</v>
      </c>
      <c r="B22" s="1991" t="s">
        <v>1076</v>
      </c>
      <c r="C22" s="1992"/>
      <c r="D22" s="1993"/>
      <c r="E22" s="1993"/>
      <c r="F22" s="276"/>
      <c r="G22" s="277"/>
      <c r="H22" s="278"/>
      <c r="I22" s="279" t="s">
        <v>315</v>
      </c>
      <c r="J22" s="280"/>
      <c r="K22" s="281"/>
      <c r="L22" s="282" t="s">
        <v>316</v>
      </c>
      <c r="M22" s="280"/>
      <c r="N22" s="283"/>
    </row>
    <row r="23" spans="1:19" ht="24" customHeight="1">
      <c r="A23" s="1990"/>
      <c r="B23" s="1994"/>
      <c r="C23" s="1995"/>
      <c r="D23" s="1995"/>
      <c r="E23" s="1995"/>
      <c r="F23" s="284"/>
      <c r="G23" s="285"/>
      <c r="H23" s="286"/>
      <c r="I23" s="287" t="e">
        <f>SUM(I25:I29)</f>
        <v>#REF!</v>
      </c>
      <c r="J23" s="288">
        <f>SUM(J25:J29)</f>
        <v>3019.3427738000005</v>
      </c>
      <c r="K23" s="289" t="e">
        <f>I23+J23</f>
        <v>#REF!</v>
      </c>
      <c r="L23" s="262"/>
      <c r="M23" s="181"/>
      <c r="N23" s="289">
        <f>SUM(N25:N29)</f>
        <v>13587.599999999999</v>
      </c>
      <c r="O23" s="564" t="e">
        <f>N23-K23</f>
        <v>#REF!</v>
      </c>
      <c r="P23" s="578" t="e">
        <f>N19-K20</f>
        <v>#REF!</v>
      </c>
    </row>
    <row r="24" spans="1:19" ht="27.75" customHeight="1">
      <c r="A24" s="249"/>
      <c r="B24" s="247" t="s">
        <v>317</v>
      </c>
      <c r="C24" s="560" t="s">
        <v>616</v>
      </c>
      <c r="D24" s="1139" t="e">
        <f>SUM(D25:D29)</f>
        <v>#REF!</v>
      </c>
      <c r="E24" s="1138">
        <f>SUM(E25:E29)</f>
        <v>9965.9600000000009</v>
      </c>
      <c r="F24" s="249"/>
      <c r="G24" s="247"/>
      <c r="H24" s="250"/>
      <c r="I24" s="287"/>
      <c r="J24" s="288"/>
      <c r="K24" s="289"/>
      <c r="L24" s="262"/>
      <c r="M24" s="181"/>
      <c r="N24" s="289"/>
    </row>
    <row r="25" spans="1:19">
      <c r="A25" s="257"/>
      <c r="B25" s="291" t="s">
        <v>1075</v>
      </c>
      <c r="C25" s="1154">
        <f>E25/D25</f>
        <v>8214</v>
      </c>
      <c r="D25" s="1161">
        <f>E25/8214</f>
        <v>0.49549549549549549</v>
      </c>
      <c r="E25" s="1162">
        <v>4070</v>
      </c>
      <c r="F25" s="292">
        <f>E62</f>
        <v>364484.63</v>
      </c>
      <c r="G25" s="293">
        <f>F62</f>
        <v>151.36000000000001</v>
      </c>
      <c r="H25" s="294">
        <f>G62</f>
        <v>671</v>
      </c>
      <c r="I25" s="520">
        <f>D25*F25*12/1000</f>
        <v>2167.2059081081079</v>
      </c>
      <c r="J25" s="520">
        <f>E25*G25/1000</f>
        <v>616.03520000000003</v>
      </c>
      <c r="K25" s="521">
        <f>I25+J25</f>
        <v>2783.2411081081082</v>
      </c>
      <c r="L25" s="1141"/>
      <c r="M25" s="520"/>
      <c r="N25" s="521">
        <f>ROUND((E25*H25/1000),1)</f>
        <v>2731</v>
      </c>
    </row>
    <row r="26" spans="1:19">
      <c r="A26" s="257"/>
      <c r="B26" s="291" t="s">
        <v>318</v>
      </c>
      <c r="C26" s="1154">
        <f>E26/D26</f>
        <v>7841</v>
      </c>
      <c r="D26" s="1139">
        <f>E26/7841</f>
        <v>0.68810100752455039</v>
      </c>
      <c r="E26" s="1162">
        <v>5395.4</v>
      </c>
      <c r="F26" s="292">
        <f t="shared" ref="F26:H28" si="0">E64</f>
        <v>942948.34</v>
      </c>
      <c r="G26" s="293">
        <f t="shared" si="0"/>
        <v>414.16</v>
      </c>
      <c r="H26" s="294">
        <f t="shared" si="0"/>
        <v>1847.1</v>
      </c>
      <c r="I26" s="520">
        <f>D26*F26*12/1000</f>
        <v>7786.1244335712272</v>
      </c>
      <c r="J26" s="520">
        <f>E26*G26/1000</f>
        <v>2234.5588640000001</v>
      </c>
      <c r="K26" s="521">
        <f>I26+J26</f>
        <v>10020.683297571228</v>
      </c>
      <c r="L26" s="1141"/>
      <c r="M26" s="520"/>
      <c r="N26" s="521">
        <f>ROUND((E26*H26/1000),1)</f>
        <v>9965.7999999999993</v>
      </c>
    </row>
    <row r="27" spans="1:19">
      <c r="A27" s="257"/>
      <c r="B27" s="295" t="s">
        <v>1074</v>
      </c>
      <c r="C27" s="1154" t="e">
        <f>E27/D27</f>
        <v>#REF!</v>
      </c>
      <c r="D27" s="1139" t="e">
        <f>'Баланс электрической мощности'!G28-'пл.об расч.по инд.межсет.та (2)'!D29</f>
        <v>#REF!</v>
      </c>
      <c r="E27" s="1138">
        <f>'Прилож.2 структура 2011г.-2012г'!F35</f>
        <v>290.83000000000004</v>
      </c>
      <c r="F27" s="292">
        <f t="shared" si="0"/>
        <v>1640145.12</v>
      </c>
      <c r="G27" s="293">
        <f t="shared" si="0"/>
        <v>472.06</v>
      </c>
      <c r="H27" s="294">
        <f t="shared" si="0"/>
        <v>2747.68</v>
      </c>
      <c r="I27" s="520" t="e">
        <f>D27*F27*12/1000</f>
        <v>#REF!</v>
      </c>
      <c r="J27" s="520">
        <f>E27*G27/1000</f>
        <v>137.28920980000001</v>
      </c>
      <c r="K27" s="521" t="e">
        <f>I27+J27</f>
        <v>#REF!</v>
      </c>
      <c r="L27" s="1141"/>
      <c r="M27" s="520"/>
      <c r="N27" s="521">
        <f>ROUND((E27*H27/1000),1)</f>
        <v>799.1</v>
      </c>
    </row>
    <row r="28" spans="1:19" s="358" customFormat="1" ht="28.2">
      <c r="A28" s="257"/>
      <c r="B28" s="295" t="s">
        <v>1073</v>
      </c>
      <c r="C28" s="1154" t="e">
        <f>E28/D28</f>
        <v>#REF!</v>
      </c>
      <c r="D28" s="1139" t="e">
        <f>#REF!</f>
        <v>#REF!</v>
      </c>
      <c r="E28" s="1138">
        <f>'Прилож.2 структура 2011г.-2012г'!E26</f>
        <v>21.36</v>
      </c>
      <c r="F28" s="292">
        <f t="shared" si="0"/>
        <v>133702.84</v>
      </c>
      <c r="G28" s="293">
        <f t="shared" si="0"/>
        <v>150</v>
      </c>
      <c r="H28" s="294">
        <f t="shared" si="0"/>
        <v>437.28</v>
      </c>
      <c r="I28" s="520" t="e">
        <f>D28*F28*12/1000</f>
        <v>#REF!</v>
      </c>
      <c r="J28" s="520">
        <f>E28*G28/1000</f>
        <v>3.2040000000000002</v>
      </c>
      <c r="K28" s="521" t="e">
        <f>I28+J28</f>
        <v>#REF!</v>
      </c>
      <c r="L28" s="1141"/>
      <c r="M28" s="520"/>
      <c r="N28" s="521">
        <f>ROUND((E28*H28/1000),1)</f>
        <v>9.3000000000000007</v>
      </c>
    </row>
    <row r="29" spans="1:19" s="358" customFormat="1" ht="28.8" thickBot="1">
      <c r="A29" s="368"/>
      <c r="B29" s="295" t="s">
        <v>319</v>
      </c>
      <c r="C29" s="582" t="e">
        <f>E29/D29</f>
        <v>#REF!</v>
      </c>
      <c r="D29" s="1140" t="e">
        <f>#REF!</f>
        <v>#REF!</v>
      </c>
      <c r="E29" s="297">
        <f>'Прилож.2 структура 2011г.-2012г'!F26</f>
        <v>188.37</v>
      </c>
      <c r="F29" s="372">
        <f>F28</f>
        <v>133702.84</v>
      </c>
      <c r="G29" s="373">
        <f>G28</f>
        <v>150</v>
      </c>
      <c r="H29" s="374">
        <f>G66</f>
        <v>437.28</v>
      </c>
      <c r="I29" s="298" t="e">
        <f>D29*F29*12/1000</f>
        <v>#REF!</v>
      </c>
      <c r="J29" s="299">
        <f>E29*G29/1000</f>
        <v>28.255500000000001</v>
      </c>
      <c r="K29" s="300" t="e">
        <f>I29+J29</f>
        <v>#REF!</v>
      </c>
      <c r="L29" s="298"/>
      <c r="M29" s="1142"/>
      <c r="N29" s="300">
        <f>ROUND((E29*H29/1000),1)</f>
        <v>82.4</v>
      </c>
      <c r="O29" s="13"/>
    </row>
    <row r="30" spans="1:19" ht="16.5" customHeight="1">
      <c r="A30" s="1996" t="s">
        <v>320</v>
      </c>
      <c r="B30" s="1997" t="s">
        <v>1077</v>
      </c>
      <c r="C30" s="1155"/>
      <c r="D30" s="301" t="s">
        <v>321</v>
      </c>
      <c r="E30" s="332"/>
      <c r="F30" s="334" t="s">
        <v>322</v>
      </c>
      <c r="G30" s="301"/>
      <c r="H30" s="301"/>
      <c r="I30" s="302" t="s">
        <v>315</v>
      </c>
      <c r="J30" s="303"/>
      <c r="K30" s="304"/>
      <c r="L30" s="282" t="s">
        <v>316</v>
      </c>
      <c r="M30" s="303"/>
      <c r="N30" s="304"/>
    </row>
    <row r="31" spans="1:19" ht="27.6">
      <c r="A31" s="1990"/>
      <c r="B31" s="1998"/>
      <c r="C31" s="1156"/>
      <c r="D31" s="231" t="s">
        <v>299</v>
      </c>
      <c r="E31" s="333" t="s">
        <v>300</v>
      </c>
      <c r="F31" s="335" t="s">
        <v>323</v>
      </c>
      <c r="G31" s="305" t="s">
        <v>35</v>
      </c>
      <c r="H31" s="376" t="s">
        <v>508</v>
      </c>
      <c r="I31" s="1141">
        <f>SUM(I32:I33)</f>
        <v>5162.2075864799999</v>
      </c>
      <c r="J31" s="520">
        <f>SUM(J32:J33)</f>
        <v>1930.7856701799999</v>
      </c>
      <c r="K31" s="1153">
        <f>SUM(K32:K33)</f>
        <v>7092.99325666</v>
      </c>
      <c r="L31" s="570">
        <f>SUM(L33:L33)</f>
        <v>0</v>
      </c>
      <c r="M31" s="431">
        <f>SUM(M33:M33)</f>
        <v>0</v>
      </c>
      <c r="N31" s="583">
        <f>SUM(N32:N33)</f>
        <v>7010.0425975200005</v>
      </c>
    </row>
    <row r="32" spans="1:19" ht="22.5" customHeight="1">
      <c r="A32" s="306">
        <v>1</v>
      </c>
      <c r="B32" s="247" t="s">
        <v>1079</v>
      </c>
      <c r="C32" s="581">
        <f>E32/D32</f>
        <v>7183.2162162162167</v>
      </c>
      <c r="D32" s="1146">
        <f>'П1.30 - 07.06.11г.'!D137</f>
        <v>7.3999999999999996E-2</v>
      </c>
      <c r="E32" s="1147">
        <f>'П1.30 - 07.06.11г.'!C137</f>
        <v>531.55799999999999</v>
      </c>
      <c r="F32" s="568">
        <v>279175.21000000002</v>
      </c>
      <c r="G32" s="569">
        <v>108.71</v>
      </c>
      <c r="H32" s="1148">
        <f>K32/E32*1000+12.17</f>
        <v>587.25918435993799</v>
      </c>
      <c r="I32" s="262">
        <f>$D32*$F32*12/1000</f>
        <v>247.90758647999999</v>
      </c>
      <c r="J32" s="181">
        <f>$E32*$G32/1000</f>
        <v>57.785670179999997</v>
      </c>
      <c r="K32" s="263">
        <f>I32+J32</f>
        <v>305.69325665999997</v>
      </c>
      <c r="L32" s="431"/>
      <c r="M32" s="431"/>
      <c r="N32" s="558">
        <f>E32*H32/1000</f>
        <v>312.16231751999993</v>
      </c>
    </row>
    <row r="33" spans="1:15" ht="22.5" customHeight="1" thickBot="1">
      <c r="A33" s="306">
        <v>1</v>
      </c>
      <c r="B33" s="247" t="s">
        <v>1080</v>
      </c>
      <c r="C33" s="581">
        <f>E33/D33</f>
        <v>4242.727272727273</v>
      </c>
      <c r="D33" s="290">
        <v>0.22</v>
      </c>
      <c r="E33" s="1137">
        <v>933.4</v>
      </c>
      <c r="F33" s="568">
        <v>1861465.03</v>
      </c>
      <c r="G33" s="569">
        <v>2006.61</v>
      </c>
      <c r="H33" s="1148">
        <f>K33/E33*1000-95.8</f>
        <v>7175.7877437325915</v>
      </c>
      <c r="I33" s="520">
        <f>ROUND(($D$33*$F$33*12/1000),1)</f>
        <v>4914.3</v>
      </c>
      <c r="J33" s="520">
        <f>ROUND(($E$33*$G$33/1000),1)</f>
        <v>1873</v>
      </c>
      <c r="K33" s="521">
        <f>I33+J33</f>
        <v>6787.3</v>
      </c>
      <c r="L33" s="431"/>
      <c r="M33" s="431"/>
      <c r="N33" s="558">
        <f>E33*H33/1000</f>
        <v>6697.8802800000003</v>
      </c>
    </row>
    <row r="34" spans="1:15" ht="47.4" thickBot="1">
      <c r="A34" s="592" t="s">
        <v>325</v>
      </c>
      <c r="B34" s="593" t="s">
        <v>1078</v>
      </c>
      <c r="C34" s="1157"/>
      <c r="D34" s="594"/>
      <c r="E34" s="595"/>
      <c r="F34" s="596" t="s">
        <v>323</v>
      </c>
      <c r="G34" s="597" t="s">
        <v>35</v>
      </c>
      <c r="H34" s="598" t="s">
        <v>35</v>
      </c>
      <c r="I34" s="599">
        <f>SUM(I35:I37)</f>
        <v>3715.3692429408002</v>
      </c>
      <c r="J34" s="600">
        <f>SUM(J35:J37)</f>
        <v>1881.9713545161289</v>
      </c>
      <c r="K34" s="601">
        <f>SUM(K35:K37)</f>
        <v>5597.3405974569296</v>
      </c>
      <c r="L34" s="602">
        <f>SUM(L36:L37)</f>
        <v>0</v>
      </c>
      <c r="M34" s="603">
        <f>SUM(M36:M37)</f>
        <v>0</v>
      </c>
      <c r="N34" s="601">
        <f>SUM(N35:N37)</f>
        <v>5598.264817134349</v>
      </c>
    </row>
    <row r="35" spans="1:15">
      <c r="A35" s="584">
        <v>1</v>
      </c>
      <c r="B35" s="330" t="s">
        <v>324</v>
      </c>
      <c r="C35" s="585">
        <f>E35/D35</f>
        <v>15638.393577927271</v>
      </c>
      <c r="D35" s="1144">
        <f>'Баланс электрической мощности'!C8</f>
        <v>1.9699800000000001</v>
      </c>
      <c r="E35" s="1143">
        <f>'Прилож.2 структура 2011г.-2012г'!G23+'Прилож.2 структура 2011г.-2012г'!G21+'Прилож.2 структура 2011г.-2012г'!G17</f>
        <v>30807.322580645166</v>
      </c>
      <c r="F35" s="586">
        <v>451.08</v>
      </c>
      <c r="G35" s="587">
        <v>0.82</v>
      </c>
      <c r="H35" s="1148">
        <f>K35/E35*1000+0.03</f>
        <v>1.1961327388281169</v>
      </c>
      <c r="I35" s="588">
        <f>$D$35*$F$35*12/1000</f>
        <v>10.6634229408</v>
      </c>
      <c r="J35" s="589">
        <f>$E$35*$G$35/1000</f>
        <v>25.262004516129036</v>
      </c>
      <c r="K35" s="590">
        <f>I35+J35</f>
        <v>35.925427456929036</v>
      </c>
      <c r="L35" s="591"/>
      <c r="M35" s="589"/>
      <c r="N35" s="590">
        <f>E35*H35/1000</f>
        <v>36.849647134348395</v>
      </c>
    </row>
    <row r="36" spans="1:15">
      <c r="A36" s="331">
        <v>2</v>
      </c>
      <c r="B36" s="247" t="s">
        <v>350</v>
      </c>
      <c r="C36" s="581">
        <f>E36/D36</f>
        <v>8643.75</v>
      </c>
      <c r="D36" s="290">
        <f>1.56+0.04</f>
        <v>1.6</v>
      </c>
      <c r="E36" s="561">
        <f>13465+365</f>
        <v>13830</v>
      </c>
      <c r="F36" s="571">
        <v>169906.8</v>
      </c>
      <c r="G36" s="572">
        <v>114.55</v>
      </c>
      <c r="H36" s="573">
        <f>K36/E36*1000</f>
        <v>350.42928850325382</v>
      </c>
      <c r="I36" s="262">
        <f>$D36*$F36*12/1000</f>
        <v>3262.21056</v>
      </c>
      <c r="J36" s="181">
        <f>$E36*$G36/1000</f>
        <v>1584.2265</v>
      </c>
      <c r="K36" s="263">
        <f>I36+J36</f>
        <v>4846.4370600000002</v>
      </c>
      <c r="L36" s="371"/>
      <c r="M36" s="181"/>
      <c r="N36" s="263">
        <f>E36*H36/1000</f>
        <v>4846.4370600000002</v>
      </c>
    </row>
    <row r="37" spans="1:15" ht="16.2" thickBot="1">
      <c r="A37" s="307">
        <v>3</v>
      </c>
      <c r="B37" s="259" t="s">
        <v>1081</v>
      </c>
      <c r="C37" s="582">
        <f>E37/D37</f>
        <v>4553.3333333333339</v>
      </c>
      <c r="D37" s="296">
        <v>0.15</v>
      </c>
      <c r="E37" s="562">
        <v>683</v>
      </c>
      <c r="F37" s="574">
        <v>245830.7</v>
      </c>
      <c r="G37" s="575">
        <v>398.95</v>
      </c>
      <c r="H37" s="576">
        <f>K37/E37*1000</f>
        <v>1046.8200732064422</v>
      </c>
      <c r="I37" s="567">
        <f>$D$37*$F$37*12/1000</f>
        <v>442.49526000000003</v>
      </c>
      <c r="J37" s="566">
        <f>$E$37*$G$37/1000</f>
        <v>272.48284999999998</v>
      </c>
      <c r="K37" s="605">
        <f>I37+J37</f>
        <v>714.97811000000002</v>
      </c>
      <c r="L37" s="579"/>
      <c r="M37" s="580"/>
      <c r="N37" s="300">
        <f>E37*H37/1000</f>
        <v>714.97811000000002</v>
      </c>
    </row>
    <row r="38" spans="1:15" hidden="1">
      <c r="F38" s="78"/>
      <c r="G38" s="78"/>
      <c r="H38" s="78"/>
      <c r="L38" s="13"/>
      <c r="M38" s="13"/>
      <c r="N38" s="13"/>
    </row>
    <row r="39" spans="1:15">
      <c r="B39" s="44" t="s">
        <v>257</v>
      </c>
      <c r="C39" s="44"/>
      <c r="L39" s="13"/>
      <c r="M39" s="13"/>
      <c r="N39" s="13"/>
    </row>
    <row r="40" spans="1:15">
      <c r="D40" s="44" t="s">
        <v>1082</v>
      </c>
      <c r="E40" s="1160">
        <f>'Баланс электрической энергии'!C19*1000</f>
        <v>1410.6049</v>
      </c>
      <c r="F40" s="13" t="s">
        <v>326</v>
      </c>
      <c r="H40" s="563">
        <f>E36+E37+E29+E40</f>
        <v>16111.974900000001</v>
      </c>
      <c r="L40" s="13"/>
      <c r="M40" s="13"/>
      <c r="N40" s="13"/>
    </row>
    <row r="41" spans="1:15">
      <c r="D41" s="44" t="s">
        <v>327</v>
      </c>
      <c r="E41" s="308" t="e">
        <f>#REF!*1000</f>
        <v>#REF!</v>
      </c>
      <c r="F41" s="13" t="s">
        <v>328</v>
      </c>
      <c r="L41" s="13"/>
      <c r="M41" s="13"/>
      <c r="N41" s="13"/>
    </row>
    <row r="42" spans="1:15" hidden="1"/>
    <row r="43" spans="1:15" hidden="1">
      <c r="E43" s="13" t="s">
        <v>328</v>
      </c>
      <c r="G43" s="377" t="s">
        <v>623</v>
      </c>
      <c r="H43" s="377"/>
      <c r="I43" s="377"/>
      <c r="J43" s="377"/>
      <c r="K43" s="377"/>
    </row>
    <row r="44" spans="1:15" hidden="1">
      <c r="E44" s="384"/>
      <c r="F44" s="383"/>
      <c r="G44" s="378" t="s">
        <v>322</v>
      </c>
      <c r="H44" s="378"/>
      <c r="I44" s="378"/>
      <c r="J44" s="382" t="s">
        <v>509</v>
      </c>
      <c r="K44" s="382"/>
      <c r="L44" s="13"/>
      <c r="M44" s="13"/>
      <c r="N44" s="13"/>
      <c r="O44" s="309"/>
    </row>
    <row r="45" spans="1:15" ht="27" hidden="1">
      <c r="E45" s="384"/>
      <c r="F45" s="383"/>
      <c r="G45" s="379" t="s">
        <v>323</v>
      </c>
      <c r="H45" s="379" t="s">
        <v>35</v>
      </c>
      <c r="I45" s="380" t="s">
        <v>508</v>
      </c>
      <c r="J45" s="377"/>
      <c r="K45" s="377"/>
      <c r="L45" s="13"/>
      <c r="M45" s="13"/>
      <c r="N45" s="13"/>
      <c r="O45" s="310"/>
    </row>
    <row r="46" spans="1:15" hidden="1">
      <c r="E46" s="384"/>
      <c r="F46" s="383"/>
      <c r="G46" s="125"/>
      <c r="H46" s="125"/>
      <c r="I46" s="125"/>
      <c r="J46" s="377"/>
      <c r="K46" s="377"/>
      <c r="L46" s="13"/>
      <c r="M46" s="13"/>
      <c r="N46" s="13"/>
      <c r="O46" s="309"/>
    </row>
    <row r="47" spans="1:15" hidden="1">
      <c r="E47" s="384"/>
      <c r="F47" s="383" t="s">
        <v>624</v>
      </c>
      <c r="G47" s="125"/>
      <c r="H47" s="125"/>
      <c r="I47" s="125"/>
      <c r="J47" s="377"/>
      <c r="K47" s="377"/>
    </row>
    <row r="48" spans="1:15" hidden="1">
      <c r="E48" s="384"/>
      <c r="F48" s="383" t="s">
        <v>324</v>
      </c>
      <c r="G48" s="381"/>
      <c r="H48" s="381"/>
      <c r="I48" s="381"/>
      <c r="J48" s="377"/>
      <c r="K48" s="381"/>
    </row>
    <row r="49" spans="2:14" hidden="1">
      <c r="E49" s="384"/>
      <c r="F49" s="383" t="s">
        <v>350</v>
      </c>
      <c r="G49" s="381"/>
      <c r="H49" s="381"/>
      <c r="I49" s="381"/>
      <c r="J49" s="377"/>
      <c r="K49" s="381"/>
    </row>
    <row r="50" spans="2:14" hidden="1">
      <c r="E50" s="384"/>
      <c r="F50" s="383" t="s">
        <v>621</v>
      </c>
      <c r="G50" s="381"/>
      <c r="H50" s="381"/>
      <c r="I50" s="381"/>
      <c r="J50" s="377"/>
      <c r="K50" s="381"/>
    </row>
    <row r="51" spans="2:14" hidden="1">
      <c r="E51" s="384"/>
      <c r="F51" s="383" t="s">
        <v>186</v>
      </c>
      <c r="G51" s="381"/>
      <c r="H51" s="381"/>
      <c r="I51" s="381"/>
      <c r="J51" s="377"/>
      <c r="K51" s="381"/>
    </row>
    <row r="52" spans="2:14" hidden="1"/>
    <row r="53" spans="2:14" hidden="1"/>
    <row r="54" spans="2:14" hidden="1">
      <c r="K54" s="78"/>
      <c r="L54" s="13"/>
      <c r="M54" s="13"/>
      <c r="N54" s="13"/>
    </row>
    <row r="55" spans="2:14" hidden="1"/>
    <row r="56" spans="2:14" hidden="1"/>
    <row r="57" spans="2:14" ht="12.75" customHeight="1">
      <c r="B57" s="4" t="s">
        <v>510</v>
      </c>
      <c r="C57" s="4"/>
      <c r="D57" s="4"/>
      <c r="E57" s="4"/>
      <c r="F57" s="4"/>
      <c r="G57" s="100"/>
      <c r="H57" s="101"/>
    </row>
    <row r="58" spans="2:14">
      <c r="B58" s="1987" t="s">
        <v>242</v>
      </c>
      <c r="C58" s="6"/>
      <c r="D58" s="6"/>
      <c r="E58" s="2000" t="s">
        <v>243</v>
      </c>
      <c r="F58" s="17" t="s">
        <v>244</v>
      </c>
      <c r="G58" s="1987" t="s">
        <v>245</v>
      </c>
      <c r="H58" s="4"/>
    </row>
    <row r="59" spans="2:14" ht="66.599999999999994">
      <c r="B59" s="1999"/>
      <c r="C59" s="11"/>
      <c r="D59" s="11"/>
      <c r="E59" s="2001"/>
      <c r="F59" s="17" t="s">
        <v>246</v>
      </c>
      <c r="G59" s="1988"/>
      <c r="H59" s="4"/>
    </row>
    <row r="60" spans="2:14" ht="16.8">
      <c r="B60" s="1999"/>
      <c r="C60" s="11"/>
      <c r="D60" s="11"/>
      <c r="E60" s="81" t="s">
        <v>247</v>
      </c>
      <c r="F60" s="81" t="s">
        <v>248</v>
      </c>
      <c r="G60" s="9"/>
      <c r="H60" s="101" t="s">
        <v>241</v>
      </c>
    </row>
    <row r="61" spans="2:14" ht="15.75" customHeight="1">
      <c r="B61" s="1988"/>
      <c r="C61" s="7"/>
      <c r="D61" s="7"/>
      <c r="E61" s="9" t="s">
        <v>44</v>
      </c>
      <c r="F61" s="9" t="s">
        <v>249</v>
      </c>
      <c r="G61" s="9" t="s">
        <v>249</v>
      </c>
      <c r="H61" s="100"/>
    </row>
    <row r="62" spans="2:14">
      <c r="B62" s="9" t="s">
        <v>226</v>
      </c>
      <c r="C62" s="538"/>
      <c r="D62" s="538"/>
      <c r="E62" s="539">
        <v>364484.63</v>
      </c>
      <c r="F62" s="539">
        <v>151.36000000000001</v>
      </c>
      <c r="G62" s="539">
        <v>671</v>
      </c>
      <c r="H62" s="540">
        <f>(E62*12/(G62-F62))</f>
        <v>8417.0109306442937</v>
      </c>
    </row>
    <row r="63" spans="2:14">
      <c r="B63" s="9" t="s">
        <v>211</v>
      </c>
      <c r="C63" s="9"/>
      <c r="D63" s="9"/>
      <c r="E63" s="191">
        <v>684381.17</v>
      </c>
      <c r="F63" s="191">
        <v>162.12</v>
      </c>
      <c r="G63" s="191">
        <v>1153.6500000000001</v>
      </c>
      <c r="H63" s="100">
        <f>(E63*12/(G63-F63))</f>
        <v>8282.7287525339634</v>
      </c>
    </row>
    <row r="64" spans="2:14">
      <c r="B64" s="17" t="s">
        <v>253</v>
      </c>
      <c r="C64" s="17"/>
      <c r="D64" s="17"/>
      <c r="E64" s="191">
        <v>942948.34</v>
      </c>
      <c r="F64" s="191">
        <v>414.16</v>
      </c>
      <c r="G64" s="191">
        <v>1847.1</v>
      </c>
      <c r="H64" s="100">
        <f>(E64*12/(G64-F64))</f>
        <v>7896.6181975518875</v>
      </c>
    </row>
    <row r="65" spans="2:8">
      <c r="B65" s="9" t="s">
        <v>215</v>
      </c>
      <c r="C65" s="538"/>
      <c r="D65" s="538"/>
      <c r="E65" s="539">
        <v>1640145.12</v>
      </c>
      <c r="F65" s="539">
        <v>472.06</v>
      </c>
      <c r="G65" s="539">
        <v>2747.68</v>
      </c>
      <c r="H65" s="540">
        <f>(E65*12/(G65-F65))</f>
        <v>8648.9578400611717</v>
      </c>
    </row>
    <row r="66" spans="2:8">
      <c r="B66" s="341" t="s">
        <v>352</v>
      </c>
      <c r="C66" s="341"/>
      <c r="D66" s="341"/>
      <c r="E66" s="342">
        <v>133702.84</v>
      </c>
      <c r="F66" s="342">
        <v>150</v>
      </c>
      <c r="G66" s="342">
        <v>437.28</v>
      </c>
      <c r="H66" s="196">
        <f>(E66*12/(G66-F66))</f>
        <v>5584.9139515455308</v>
      </c>
    </row>
    <row r="67" spans="2:8">
      <c r="B67" s="47"/>
      <c r="C67" s="47"/>
      <c r="D67" s="47"/>
      <c r="E67" s="47"/>
      <c r="F67" s="47"/>
      <c r="G67" s="47"/>
      <c r="H67" s="47"/>
    </row>
  </sheetData>
  <mergeCells count="14">
    <mergeCell ref="G58:G59"/>
    <mergeCell ref="A22:A23"/>
    <mergeCell ref="B22:E23"/>
    <mergeCell ref="A30:A31"/>
    <mergeCell ref="B30:B31"/>
    <mergeCell ref="B58:B61"/>
    <mergeCell ref="E58:E59"/>
    <mergeCell ref="B6:B9"/>
    <mergeCell ref="D6:D7"/>
    <mergeCell ref="E6:E7"/>
    <mergeCell ref="F6:F7"/>
    <mergeCell ref="A15:A17"/>
    <mergeCell ref="B15:B17"/>
    <mergeCell ref="D15:E16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S67"/>
  <sheetViews>
    <sheetView topLeftCell="A18" zoomScaleNormal="100" workbookViewId="0">
      <selection activeCell="K8" sqref="K8"/>
    </sheetView>
  </sheetViews>
  <sheetFormatPr defaultColWidth="9.109375" defaultRowHeight="15.6"/>
  <cols>
    <col min="1" max="1" width="6" style="13" customWidth="1"/>
    <col min="2" max="2" width="42.6640625" style="13" customWidth="1"/>
    <col min="3" max="3" width="7.6640625" style="13" customWidth="1"/>
    <col min="4" max="4" width="11.109375" style="13" customWidth="1"/>
    <col min="5" max="5" width="12.44140625" style="13" customWidth="1"/>
    <col min="6" max="6" width="12.88671875" style="13" customWidth="1"/>
    <col min="7" max="7" width="12.44140625" style="13" customWidth="1"/>
    <col min="8" max="8" width="11" style="13" customWidth="1"/>
    <col min="9" max="9" width="13.109375" style="13" customWidth="1"/>
    <col min="10" max="10" width="10.44140625" style="13" customWidth="1"/>
    <col min="11" max="11" width="12" style="13" customWidth="1"/>
    <col min="12" max="13" width="9" style="78" customWidth="1"/>
    <col min="14" max="14" width="12.5546875" style="78" bestFit="1" customWidth="1"/>
    <col min="15" max="15" width="9.109375" style="13"/>
    <col min="16" max="16" width="10.44140625" style="13" customWidth="1"/>
    <col min="17" max="18" width="9.109375" style="13"/>
    <col min="19" max="19" width="11.6640625" style="13" customWidth="1"/>
    <col min="20" max="16384" width="9.109375" style="13"/>
  </cols>
  <sheetData>
    <row r="1" spans="1:14">
      <c r="A1" s="49" t="s">
        <v>622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97"/>
      <c r="M1" s="197"/>
      <c r="N1" s="197"/>
    </row>
    <row r="2" spans="1:14">
      <c r="A2" s="49" t="s">
        <v>628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197"/>
      <c r="M2" s="197"/>
      <c r="N2" s="197"/>
    </row>
    <row r="3" spans="1:14" ht="16.2" thickBot="1">
      <c r="A3" s="49"/>
      <c r="B3" s="55"/>
      <c r="C3" s="55"/>
      <c r="D3" s="55"/>
      <c r="E3" s="55"/>
      <c r="F3" s="55"/>
      <c r="G3" s="55"/>
      <c r="H3" s="55"/>
      <c r="I3" s="55"/>
      <c r="J3" s="55"/>
      <c r="K3" s="55"/>
      <c r="L3" s="197"/>
      <c r="M3" s="197"/>
      <c r="N3" s="197"/>
    </row>
    <row r="4" spans="1:14" ht="16.2" hidden="1" thickBot="1">
      <c r="B4" s="198" t="s">
        <v>286</v>
      </c>
      <c r="C4" s="198"/>
      <c r="D4" s="78"/>
      <c r="E4" s="78"/>
      <c r="F4" s="78"/>
      <c r="G4" s="78"/>
      <c r="H4" s="78"/>
      <c r="I4" s="78"/>
    </row>
    <row r="5" spans="1:14" ht="16.2" hidden="1" thickBot="1">
      <c r="B5" s="78"/>
      <c r="C5" s="78"/>
      <c r="D5" s="78"/>
      <c r="E5" s="78"/>
      <c r="H5" s="78"/>
      <c r="I5" s="78"/>
    </row>
    <row r="6" spans="1:14" ht="27.75" hidden="1" customHeight="1">
      <c r="B6" s="1975" t="s">
        <v>242</v>
      </c>
      <c r="C6" s="527"/>
      <c r="D6" s="2002" t="s">
        <v>243</v>
      </c>
      <c r="E6" s="2002" t="s">
        <v>288</v>
      </c>
      <c r="F6" s="2004" t="s">
        <v>245</v>
      </c>
    </row>
    <row r="7" spans="1:14" ht="48" hidden="1" customHeight="1">
      <c r="B7" s="1976"/>
      <c r="C7" s="528"/>
      <c r="D7" s="2003"/>
      <c r="E7" s="2003"/>
      <c r="F7" s="2004"/>
    </row>
    <row r="8" spans="1:14" ht="18.600000000000001" hidden="1" thickBot="1">
      <c r="B8" s="1976"/>
      <c r="C8" s="528"/>
      <c r="D8" s="199" t="s">
        <v>289</v>
      </c>
      <c r="E8" s="199" t="s">
        <v>290</v>
      </c>
      <c r="F8" s="35"/>
    </row>
    <row r="9" spans="1:14" ht="31.8" hidden="1" thickBot="1">
      <c r="B9" s="1977"/>
      <c r="C9" s="529"/>
      <c r="D9" s="35" t="s">
        <v>44</v>
      </c>
      <c r="E9" s="35" t="s">
        <v>35</v>
      </c>
      <c r="F9" s="35" t="s">
        <v>35</v>
      </c>
      <c r="G9" s="198" t="s">
        <v>241</v>
      </c>
    </row>
    <row r="10" spans="1:14" ht="16.2" hidden="1" thickBot="1">
      <c r="B10" s="35" t="s">
        <v>226</v>
      </c>
      <c r="C10" s="35"/>
      <c r="D10" s="200">
        <v>300621.82</v>
      </c>
      <c r="E10" s="200">
        <v>176.8</v>
      </c>
      <c r="F10" s="201">
        <v>592.41</v>
      </c>
      <c r="G10" s="202">
        <f>(D10*12/(F10-E10))</f>
        <v>8679.9206948822211</v>
      </c>
    </row>
    <row r="11" spans="1:14" ht="16.2" hidden="1" thickBot="1">
      <c r="B11" s="35" t="s">
        <v>211</v>
      </c>
      <c r="C11" s="35"/>
      <c r="D11" s="200">
        <v>490793.23</v>
      </c>
      <c r="E11" s="200">
        <v>180</v>
      </c>
      <c r="F11" s="201">
        <v>969.48</v>
      </c>
      <c r="G11" s="202">
        <f>(D11*12/(F11-E11))</f>
        <v>7459.9974160206712</v>
      </c>
      <c r="H11" s="203"/>
      <c r="I11" s="204"/>
      <c r="L11" s="205"/>
    </row>
    <row r="12" spans="1:14" ht="16.2" hidden="1" thickBot="1">
      <c r="B12" s="206" t="s">
        <v>253</v>
      </c>
      <c r="C12" s="206"/>
      <c r="D12" s="200">
        <v>680321</v>
      </c>
      <c r="E12" s="200">
        <v>210</v>
      </c>
      <c r="F12" s="201">
        <v>1441.35</v>
      </c>
      <c r="G12" s="202">
        <f>(D12*12/(F12-E12))</f>
        <v>6630.0012181751745</v>
      </c>
      <c r="H12" s="44" t="s">
        <v>291</v>
      </c>
    </row>
    <row r="13" spans="1:14" ht="16.2" hidden="1" thickBot="1">
      <c r="B13" s="35" t="s">
        <v>215</v>
      </c>
      <c r="C13" s="35"/>
      <c r="D13" s="200">
        <v>851305.82</v>
      </c>
      <c r="E13" s="200">
        <v>432</v>
      </c>
      <c r="F13" s="201">
        <v>2296.17</v>
      </c>
      <c r="G13" s="202">
        <f>(D13*12/(F13-E13))</f>
        <v>5480.0097845153605</v>
      </c>
      <c r="H13" s="207">
        <f>(365-53)*16</f>
        <v>4992</v>
      </c>
      <c r="I13" s="13" t="s">
        <v>285</v>
      </c>
      <c r="L13" s="78" t="s">
        <v>285</v>
      </c>
    </row>
    <row r="14" spans="1:14" ht="16.2" hidden="1" thickBot="1">
      <c r="B14" s="39"/>
      <c r="C14" s="39"/>
      <c r="D14" s="208"/>
      <c r="E14" s="208"/>
      <c r="F14" s="209"/>
      <c r="G14" s="202"/>
      <c r="H14" s="207"/>
    </row>
    <row r="15" spans="1:14" ht="16.2" thickBot="1">
      <c r="A15" s="2005"/>
      <c r="B15" s="2008" t="s">
        <v>292</v>
      </c>
      <c r="C15" s="531"/>
      <c r="D15" s="2011" t="s">
        <v>293</v>
      </c>
      <c r="E15" s="2012"/>
      <c r="F15" s="210" t="s">
        <v>294</v>
      </c>
      <c r="G15" s="211"/>
      <c r="H15" s="212"/>
      <c r="I15" s="213" t="s">
        <v>295</v>
      </c>
      <c r="J15" s="214"/>
      <c r="K15" s="214"/>
      <c r="L15" s="215"/>
      <c r="M15" s="216"/>
      <c r="N15" s="217"/>
    </row>
    <row r="16" spans="1:14" ht="27.6">
      <c r="A16" s="2006"/>
      <c r="B16" s="2009"/>
      <c r="C16" s="559"/>
      <c r="D16" s="2013"/>
      <c r="E16" s="2014"/>
      <c r="F16" s="218" t="s">
        <v>296</v>
      </c>
      <c r="G16" s="219"/>
      <c r="H16" s="220" t="s">
        <v>297</v>
      </c>
      <c r="I16" s="221" t="s">
        <v>298</v>
      </c>
      <c r="J16" s="222"/>
      <c r="K16" s="223"/>
      <c r="L16" s="604" t="s">
        <v>614</v>
      </c>
      <c r="M16" s="224"/>
      <c r="N16" s="1145"/>
    </row>
    <row r="17" spans="1:19" s="233" customFormat="1" ht="80.25" customHeight="1">
      <c r="A17" s="2007"/>
      <c r="B17" s="2010"/>
      <c r="C17" s="530"/>
      <c r="D17" s="79" t="s">
        <v>299</v>
      </c>
      <c r="E17" s="225" t="s">
        <v>300</v>
      </c>
      <c r="F17" s="226" t="s">
        <v>301</v>
      </c>
      <c r="G17" s="9" t="s">
        <v>302</v>
      </c>
      <c r="H17" s="227" t="s">
        <v>303</v>
      </c>
      <c r="I17" s="228" t="s">
        <v>304</v>
      </c>
      <c r="J17" s="79" t="s">
        <v>305</v>
      </c>
      <c r="K17" s="229" t="s">
        <v>103</v>
      </c>
      <c r="L17" s="230" t="s">
        <v>626</v>
      </c>
      <c r="M17" s="231" t="s">
        <v>305</v>
      </c>
      <c r="N17" s="232" t="s">
        <v>103</v>
      </c>
    </row>
    <row r="18" spans="1:19" s="245" customFormat="1" ht="28.5" customHeight="1">
      <c r="A18" s="234">
        <v>1</v>
      </c>
      <c r="B18" s="235">
        <v>2</v>
      </c>
      <c r="C18" s="235"/>
      <c r="D18" s="236">
        <v>3</v>
      </c>
      <c r="E18" s="237">
        <v>4</v>
      </c>
      <c r="F18" s="238">
        <v>5</v>
      </c>
      <c r="G18" s="236">
        <v>6</v>
      </c>
      <c r="H18" s="239">
        <v>7</v>
      </c>
      <c r="I18" s="240" t="s">
        <v>306</v>
      </c>
      <c r="J18" s="241" t="s">
        <v>307</v>
      </c>
      <c r="K18" s="242" t="s">
        <v>308</v>
      </c>
      <c r="L18" s="238">
        <v>11</v>
      </c>
      <c r="M18" s="236">
        <v>12</v>
      </c>
      <c r="N18" s="239">
        <v>13</v>
      </c>
      <c r="O18" s="243" t="s">
        <v>309</v>
      </c>
      <c r="P18" s="244"/>
      <c r="Q18" s="1149" t="s">
        <v>1083</v>
      </c>
      <c r="R18" s="1150"/>
      <c r="S18" s="1151"/>
    </row>
    <row r="19" spans="1:19" ht="17.399999999999999">
      <c r="A19" s="246" t="s">
        <v>310</v>
      </c>
      <c r="B19" s="183" t="s">
        <v>311</v>
      </c>
      <c r="C19" s="183"/>
      <c r="D19" s="247"/>
      <c r="E19" s="248"/>
      <c r="F19" s="249"/>
      <c r="G19" s="247"/>
      <c r="H19" s="250"/>
      <c r="I19" s="251">
        <f>'НВВ на содержание'!G8</f>
        <v>2006.8</v>
      </c>
      <c r="J19" s="252" t="e">
        <f>E40*E41/1000</f>
        <v>#REF!</v>
      </c>
      <c r="K19" s="253" t="e">
        <f>ROUND((I19+J19),1)</f>
        <v>#REF!</v>
      </c>
      <c r="L19" s="254"/>
      <c r="M19" s="255"/>
      <c r="N19" s="256">
        <f>N23-N31+N34</f>
        <v>15726.822219614351</v>
      </c>
      <c r="O19" s="243" t="e">
        <f>$E$40*$E$41/1000</f>
        <v>#REF!</v>
      </c>
      <c r="Q19" s="1149">
        <f>N23+K34-N32-K33</f>
        <v>15636.478279936931</v>
      </c>
      <c r="R19" s="1151"/>
      <c r="S19" s="1152"/>
    </row>
    <row r="20" spans="1:19" ht="16.2" thickBot="1">
      <c r="A20" s="257"/>
      <c r="B20" s="247" t="s">
        <v>312</v>
      </c>
      <c r="C20" s="247"/>
      <c r="D20" s="247"/>
      <c r="E20" s="248"/>
      <c r="F20" s="258"/>
      <c r="G20" s="259"/>
      <c r="H20" s="260"/>
      <c r="I20" s="577" t="e">
        <f>I23+I34-I31</f>
        <v>#REF!</v>
      </c>
      <c r="J20" s="261">
        <f>ROUND((J23+J34-J31),1)</f>
        <v>3768.4</v>
      </c>
      <c r="K20" s="253" t="e">
        <f>ROUND((I20+J20),1)</f>
        <v>#REF!</v>
      </c>
      <c r="L20" s="262"/>
      <c r="M20" s="181"/>
      <c r="N20" s="263"/>
      <c r="Q20" s="243"/>
    </row>
    <row r="21" spans="1:19" ht="1.5" hidden="1" customHeight="1">
      <c r="A21" s="264"/>
      <c r="B21" s="265" t="s">
        <v>313</v>
      </c>
      <c r="C21" s="265"/>
      <c r="D21" s="265"/>
      <c r="E21" s="266"/>
      <c r="F21" s="267"/>
      <c r="G21" s="268"/>
      <c r="H21" s="269"/>
      <c r="I21" s="270" t="e">
        <f>K19-K20</f>
        <v>#REF!</v>
      </c>
      <c r="J21" s="271"/>
      <c r="K21" s="272"/>
      <c r="L21" s="273"/>
      <c r="M21" s="274"/>
      <c r="N21" s="275"/>
    </row>
    <row r="22" spans="1:19" ht="15.75" customHeight="1">
      <c r="A22" s="1989" t="s">
        <v>314</v>
      </c>
      <c r="B22" s="1991" t="s">
        <v>1076</v>
      </c>
      <c r="C22" s="1992"/>
      <c r="D22" s="1993"/>
      <c r="E22" s="1993"/>
      <c r="F22" s="276"/>
      <c r="G22" s="277"/>
      <c r="H22" s="278"/>
      <c r="I22" s="279" t="s">
        <v>315</v>
      </c>
      <c r="J22" s="280"/>
      <c r="K22" s="281"/>
      <c r="L22" s="282" t="s">
        <v>316</v>
      </c>
      <c r="M22" s="280"/>
      <c r="N22" s="283"/>
    </row>
    <row r="23" spans="1:19" ht="24" customHeight="1">
      <c r="A23" s="1990"/>
      <c r="B23" s="1994"/>
      <c r="C23" s="1995"/>
      <c r="D23" s="1995"/>
      <c r="E23" s="1995"/>
      <c r="F23" s="284"/>
      <c r="G23" s="285"/>
      <c r="H23" s="286"/>
      <c r="I23" s="287" t="e">
        <f>SUM(I25:I29)</f>
        <v>#REF!</v>
      </c>
      <c r="J23" s="288">
        <f>SUM(J25:J29)</f>
        <v>3817.2356842000013</v>
      </c>
      <c r="K23" s="289" t="e">
        <f>I23+J23</f>
        <v>#REF!</v>
      </c>
      <c r="L23" s="262"/>
      <c r="M23" s="181"/>
      <c r="N23" s="289">
        <f>SUM(N25:N29)</f>
        <v>17138.600000000002</v>
      </c>
      <c r="O23" s="564" t="e">
        <f>N23-K23</f>
        <v>#REF!</v>
      </c>
      <c r="P23" s="578" t="e">
        <f>N19-K20</f>
        <v>#REF!</v>
      </c>
    </row>
    <row r="24" spans="1:19" ht="27.75" customHeight="1">
      <c r="A24" s="249"/>
      <c r="B24" s="247" t="s">
        <v>317</v>
      </c>
      <c r="C24" s="560" t="s">
        <v>616</v>
      </c>
      <c r="D24" s="1139" t="e">
        <f>SUM(D25:D29)</f>
        <v>#REF!</v>
      </c>
      <c r="E24" s="1138">
        <f>SUM(E25:E29)</f>
        <v>13071.400000000001</v>
      </c>
      <c r="F24" s="249"/>
      <c r="G24" s="247"/>
      <c r="H24" s="250"/>
      <c r="I24" s="287"/>
      <c r="J24" s="288"/>
      <c r="K24" s="289"/>
      <c r="L24" s="262"/>
      <c r="M24" s="181"/>
      <c r="N24" s="289"/>
    </row>
    <row r="25" spans="1:19">
      <c r="A25" s="257"/>
      <c r="B25" s="291" t="s">
        <v>1075</v>
      </c>
      <c r="C25" s="1154">
        <f>E25/D25</f>
        <v>-8512.5723394172619</v>
      </c>
      <c r="D25" s="1139">
        <f>'Баланс электрической мощности'!D28-'пл.об расч.по инд.межсет.тар.11'!D33-'пл.об расч.по инд.межсет.тар.11'!D37-1.56</f>
        <v>-0.69637000000000004</v>
      </c>
      <c r="E25" s="1138">
        <f>'Прилож.2 структура 2011г.-2012г'!C35</f>
        <v>5927.9</v>
      </c>
      <c r="F25" s="292">
        <f>E62</f>
        <v>364484.63</v>
      </c>
      <c r="G25" s="293">
        <f>F62</f>
        <v>151.36000000000001</v>
      </c>
      <c r="H25" s="294">
        <f>G62</f>
        <v>671</v>
      </c>
      <c r="I25" s="520">
        <f>D25*F25*12/1000</f>
        <v>-3045.7939415172004</v>
      </c>
      <c r="J25" s="520">
        <f>E25*G25/1000</f>
        <v>897.24694399999998</v>
      </c>
      <c r="K25" s="521">
        <f>I25+J25</f>
        <v>-2148.5469975172005</v>
      </c>
      <c r="L25" s="1141"/>
      <c r="M25" s="520"/>
      <c r="N25" s="521">
        <f>ROUND((E25*H25/1000),1)</f>
        <v>3977.6</v>
      </c>
    </row>
    <row r="26" spans="1:19">
      <c r="A26" s="257"/>
      <c r="B26" s="291" t="s">
        <v>318</v>
      </c>
      <c r="C26" s="1154">
        <f>E26/D26</f>
        <v>13190.643553543418</v>
      </c>
      <c r="D26" s="1139">
        <f>'Баланс электрической мощности'!F28-0.04</f>
        <v>0.50361</v>
      </c>
      <c r="E26" s="1138">
        <f>'Прилож.2 структура 2011г.-2012г'!E35</f>
        <v>6642.9400000000005</v>
      </c>
      <c r="F26" s="292">
        <f t="shared" ref="F26:H28" si="0">E64</f>
        <v>942948.34</v>
      </c>
      <c r="G26" s="293">
        <f t="shared" si="0"/>
        <v>414.16</v>
      </c>
      <c r="H26" s="294">
        <f t="shared" si="0"/>
        <v>1847.1</v>
      </c>
      <c r="I26" s="520">
        <f>D26*F26*12/1000</f>
        <v>5698.538562088801</v>
      </c>
      <c r="J26" s="520">
        <f>E26*G26/1000</f>
        <v>2751.2400304000007</v>
      </c>
      <c r="K26" s="521">
        <f>I26+J26</f>
        <v>8449.7785924888012</v>
      </c>
      <c r="L26" s="1141"/>
      <c r="M26" s="520"/>
      <c r="N26" s="521">
        <f>ROUND((E26*H26/1000),1)</f>
        <v>12270.2</v>
      </c>
    </row>
    <row r="27" spans="1:19">
      <c r="A27" s="257"/>
      <c r="B27" s="295" t="s">
        <v>1074</v>
      </c>
      <c r="C27" s="1154" t="e">
        <f>E27/D27</f>
        <v>#REF!</v>
      </c>
      <c r="D27" s="1139" t="e">
        <f>'Баланс электрической мощности'!G28-'пл.об расч.по инд.межсет.тар.11'!D29</f>
        <v>#REF!</v>
      </c>
      <c r="E27" s="1138">
        <f>'Прилож.2 структура 2011г.-2012г'!F35</f>
        <v>290.83000000000004</v>
      </c>
      <c r="F27" s="292">
        <f t="shared" si="0"/>
        <v>1640145.12</v>
      </c>
      <c r="G27" s="293">
        <f t="shared" si="0"/>
        <v>472.06</v>
      </c>
      <c r="H27" s="294">
        <f t="shared" si="0"/>
        <v>2747.68</v>
      </c>
      <c r="I27" s="520" t="e">
        <f>D27*F27*12/1000</f>
        <v>#REF!</v>
      </c>
      <c r="J27" s="520">
        <f>E27*G27/1000</f>
        <v>137.28920980000001</v>
      </c>
      <c r="K27" s="521" t="e">
        <f>I27+J27</f>
        <v>#REF!</v>
      </c>
      <c r="L27" s="1141"/>
      <c r="M27" s="520"/>
      <c r="N27" s="521">
        <f>ROUND((E27*H27/1000),1)</f>
        <v>799.1</v>
      </c>
    </row>
    <row r="28" spans="1:19" s="358" customFormat="1" ht="28.2">
      <c r="A28" s="257"/>
      <c r="B28" s="295" t="s">
        <v>1073</v>
      </c>
      <c r="C28" s="1154" t="e">
        <f>E28/D28</f>
        <v>#REF!</v>
      </c>
      <c r="D28" s="1139" t="e">
        <f>#REF!</f>
        <v>#REF!</v>
      </c>
      <c r="E28" s="1138">
        <f>'Прилож.2 структура 2011г.-2012г'!E26</f>
        <v>21.36</v>
      </c>
      <c r="F28" s="292">
        <f t="shared" si="0"/>
        <v>133702.84</v>
      </c>
      <c r="G28" s="293">
        <f t="shared" si="0"/>
        <v>150</v>
      </c>
      <c r="H28" s="294">
        <f t="shared" si="0"/>
        <v>437.28</v>
      </c>
      <c r="I28" s="520" t="e">
        <f>D28*F28*12/1000</f>
        <v>#REF!</v>
      </c>
      <c r="J28" s="520">
        <f>E28*G28/1000</f>
        <v>3.2040000000000002</v>
      </c>
      <c r="K28" s="521" t="e">
        <f>I28+J28</f>
        <v>#REF!</v>
      </c>
      <c r="L28" s="1141"/>
      <c r="M28" s="520"/>
      <c r="N28" s="521">
        <f>ROUND((E28*H28/1000),1)</f>
        <v>9.3000000000000007</v>
      </c>
    </row>
    <row r="29" spans="1:19" s="358" customFormat="1" ht="28.8" thickBot="1">
      <c r="A29" s="368"/>
      <c r="B29" s="295" t="s">
        <v>319</v>
      </c>
      <c r="C29" s="582" t="e">
        <f>E29/D29</f>
        <v>#REF!</v>
      </c>
      <c r="D29" s="1140" t="e">
        <f>#REF!</f>
        <v>#REF!</v>
      </c>
      <c r="E29" s="297">
        <f>'Прилож.2 структура 2011г.-2012г'!F26</f>
        <v>188.37</v>
      </c>
      <c r="F29" s="372">
        <f>F28</f>
        <v>133702.84</v>
      </c>
      <c r="G29" s="373">
        <f>G28</f>
        <v>150</v>
      </c>
      <c r="H29" s="374">
        <f>G66</f>
        <v>437.28</v>
      </c>
      <c r="I29" s="298" t="e">
        <f>D29*F29*12/1000</f>
        <v>#REF!</v>
      </c>
      <c r="J29" s="299">
        <f>E29*G29/1000</f>
        <v>28.255500000000001</v>
      </c>
      <c r="K29" s="300" t="e">
        <f>I29+J29</f>
        <v>#REF!</v>
      </c>
      <c r="L29" s="298"/>
      <c r="M29" s="1142"/>
      <c r="N29" s="300">
        <f>ROUND((E29*H29/1000),1)</f>
        <v>82.4</v>
      </c>
      <c r="O29" s="13"/>
    </row>
    <row r="30" spans="1:19" ht="16.5" customHeight="1">
      <c r="A30" s="1996" t="s">
        <v>320</v>
      </c>
      <c r="B30" s="1997" t="s">
        <v>1077</v>
      </c>
      <c r="C30" s="1155"/>
      <c r="D30" s="301" t="s">
        <v>321</v>
      </c>
      <c r="E30" s="332"/>
      <c r="F30" s="334" t="s">
        <v>322</v>
      </c>
      <c r="G30" s="301"/>
      <c r="H30" s="301"/>
      <c r="I30" s="302" t="s">
        <v>315</v>
      </c>
      <c r="J30" s="303"/>
      <c r="K30" s="304"/>
      <c r="L30" s="282" t="s">
        <v>316</v>
      </c>
      <c r="M30" s="303"/>
      <c r="N30" s="304"/>
    </row>
    <row r="31" spans="1:19" ht="27.6">
      <c r="A31" s="1990"/>
      <c r="B31" s="1998"/>
      <c r="C31" s="1156"/>
      <c r="D31" s="231" t="s">
        <v>299</v>
      </c>
      <c r="E31" s="333" t="s">
        <v>300</v>
      </c>
      <c r="F31" s="335" t="s">
        <v>323</v>
      </c>
      <c r="G31" s="305" t="s">
        <v>35</v>
      </c>
      <c r="H31" s="376" t="s">
        <v>508</v>
      </c>
      <c r="I31" s="1141">
        <f>SUM(I32:I33)</f>
        <v>5162.2075864799999</v>
      </c>
      <c r="J31" s="520">
        <f>SUM(J32:J33)</f>
        <v>1930.7856701799999</v>
      </c>
      <c r="K31" s="1153">
        <f>SUM(K32:K33)</f>
        <v>7092.99325666</v>
      </c>
      <c r="L31" s="570">
        <f>SUM(L33:L33)</f>
        <v>0</v>
      </c>
      <c r="M31" s="431">
        <f>SUM(M33:M33)</f>
        <v>0</v>
      </c>
      <c r="N31" s="583">
        <f>SUM(N32:N33)</f>
        <v>7010.0425975200005</v>
      </c>
    </row>
    <row r="32" spans="1:19" ht="22.5" customHeight="1">
      <c r="A32" s="306">
        <v>1</v>
      </c>
      <c r="B32" s="247" t="s">
        <v>1079</v>
      </c>
      <c r="C32" s="581">
        <f>E32/D32</f>
        <v>7183.2162162162167</v>
      </c>
      <c r="D32" s="1146">
        <f>'П1.30 - 07.06.11г.'!D137</f>
        <v>7.3999999999999996E-2</v>
      </c>
      <c r="E32" s="1147">
        <f>'П1.30 - 07.06.11г.'!C137</f>
        <v>531.55799999999999</v>
      </c>
      <c r="F32" s="568">
        <v>279175.21000000002</v>
      </c>
      <c r="G32" s="569">
        <v>108.71</v>
      </c>
      <c r="H32" s="1148">
        <f>K32/E32*1000+12.17</f>
        <v>587.25918435993799</v>
      </c>
      <c r="I32" s="262">
        <f>$D32*$F32*12/1000</f>
        <v>247.90758647999999</v>
      </c>
      <c r="J32" s="181">
        <f>$E32*$G32/1000</f>
        <v>57.785670179999997</v>
      </c>
      <c r="K32" s="263">
        <f>I32+J32</f>
        <v>305.69325665999997</v>
      </c>
      <c r="L32" s="431"/>
      <c r="M32" s="431"/>
      <c r="N32" s="558">
        <f>E32*H32/1000</f>
        <v>312.16231751999993</v>
      </c>
    </row>
    <row r="33" spans="1:15" ht="22.5" customHeight="1" thickBot="1">
      <c r="A33" s="306">
        <v>1</v>
      </c>
      <c r="B33" s="247" t="s">
        <v>1080</v>
      </c>
      <c r="C33" s="581">
        <f>E33/D33</f>
        <v>4242.727272727273</v>
      </c>
      <c r="D33" s="290">
        <v>0.22</v>
      </c>
      <c r="E33" s="1137">
        <v>933.4</v>
      </c>
      <c r="F33" s="568">
        <v>1861465.03</v>
      </c>
      <c r="G33" s="569">
        <v>2006.61</v>
      </c>
      <c r="H33" s="1148">
        <f>K33/E33*1000-95.8</f>
        <v>7175.7877437325915</v>
      </c>
      <c r="I33" s="520">
        <f>ROUND(($D$33*$F$33*12/1000),1)</f>
        <v>4914.3</v>
      </c>
      <c r="J33" s="520">
        <f>ROUND(($E$33*$G$33/1000),1)</f>
        <v>1873</v>
      </c>
      <c r="K33" s="521">
        <f>I33+J33</f>
        <v>6787.3</v>
      </c>
      <c r="L33" s="431"/>
      <c r="M33" s="431"/>
      <c r="N33" s="558">
        <f>E33*H33/1000</f>
        <v>6697.8802800000003</v>
      </c>
    </row>
    <row r="34" spans="1:15" ht="47.4" thickBot="1">
      <c r="A34" s="592" t="s">
        <v>325</v>
      </c>
      <c r="B34" s="593" t="s">
        <v>1078</v>
      </c>
      <c r="C34" s="1157"/>
      <c r="D34" s="594"/>
      <c r="E34" s="595"/>
      <c r="F34" s="596" t="s">
        <v>323</v>
      </c>
      <c r="G34" s="597" t="s">
        <v>35</v>
      </c>
      <c r="H34" s="598" t="s">
        <v>35</v>
      </c>
      <c r="I34" s="599">
        <f>SUM(I35:I37)</f>
        <v>3715.3692429408002</v>
      </c>
      <c r="J34" s="600">
        <f>SUM(J35:J37)</f>
        <v>1881.9713545161289</v>
      </c>
      <c r="K34" s="601">
        <f>SUM(K35:K37)</f>
        <v>5597.3405974569296</v>
      </c>
      <c r="L34" s="602">
        <f>SUM(L36:L37)</f>
        <v>0</v>
      </c>
      <c r="M34" s="603">
        <f>SUM(M36:M37)</f>
        <v>0</v>
      </c>
      <c r="N34" s="601">
        <f>SUM(N35:N37)</f>
        <v>5598.264817134349</v>
      </c>
    </row>
    <row r="35" spans="1:15">
      <c r="A35" s="584">
        <v>1</v>
      </c>
      <c r="B35" s="330" t="s">
        <v>324</v>
      </c>
      <c r="C35" s="585">
        <f>E35/D35</f>
        <v>15638.393577927271</v>
      </c>
      <c r="D35" s="1144">
        <f>'Баланс электрической мощности'!C8</f>
        <v>1.9699800000000001</v>
      </c>
      <c r="E35" s="1143">
        <f>'Прилож.2 структура 2011г.-2012г'!G23+'Прилож.2 структура 2011г.-2012г'!G21+'Прилож.2 структура 2011г.-2012г'!G17</f>
        <v>30807.322580645166</v>
      </c>
      <c r="F35" s="586">
        <v>451.08</v>
      </c>
      <c r="G35" s="587">
        <v>0.82</v>
      </c>
      <c r="H35" s="1148">
        <f>K35/E35*1000+0.03</f>
        <v>1.1961327388281169</v>
      </c>
      <c r="I35" s="588">
        <f>$D$35*$F$35*12/1000</f>
        <v>10.6634229408</v>
      </c>
      <c r="J35" s="589">
        <f>$E$35*$G$35/1000</f>
        <v>25.262004516129036</v>
      </c>
      <c r="K35" s="590">
        <f>I35+J35</f>
        <v>35.925427456929036</v>
      </c>
      <c r="L35" s="591"/>
      <c r="M35" s="589"/>
      <c r="N35" s="590">
        <f>E35*H35/1000</f>
        <v>36.849647134348395</v>
      </c>
    </row>
    <row r="36" spans="1:15">
      <c r="A36" s="331">
        <v>2</v>
      </c>
      <c r="B36" s="247" t="s">
        <v>350</v>
      </c>
      <c r="C36" s="581">
        <f>E36/D36</f>
        <v>8643.75</v>
      </c>
      <c r="D36" s="290">
        <f>1.56+0.04</f>
        <v>1.6</v>
      </c>
      <c r="E36" s="561">
        <f>13465+365</f>
        <v>13830</v>
      </c>
      <c r="F36" s="571">
        <v>169906.8</v>
      </c>
      <c r="G36" s="572">
        <v>114.55</v>
      </c>
      <c r="H36" s="573">
        <f>K36/E36*1000</f>
        <v>350.42928850325382</v>
      </c>
      <c r="I36" s="262">
        <f>$D36*$F36*12/1000</f>
        <v>3262.21056</v>
      </c>
      <c r="J36" s="181">
        <f>$E36*$G36/1000</f>
        <v>1584.2265</v>
      </c>
      <c r="K36" s="263">
        <f>I36+J36</f>
        <v>4846.4370600000002</v>
      </c>
      <c r="L36" s="371"/>
      <c r="M36" s="181"/>
      <c r="N36" s="263">
        <f>E36*H36/1000</f>
        <v>4846.4370600000002</v>
      </c>
    </row>
    <row r="37" spans="1:15" ht="16.2" thickBot="1">
      <c r="A37" s="307">
        <v>3</v>
      </c>
      <c r="B37" s="259" t="s">
        <v>1081</v>
      </c>
      <c r="C37" s="582">
        <f>E37/D37</f>
        <v>4553.3333333333339</v>
      </c>
      <c r="D37" s="296">
        <v>0.15</v>
      </c>
      <c r="E37" s="562">
        <v>683</v>
      </c>
      <c r="F37" s="574">
        <v>245830.7</v>
      </c>
      <c r="G37" s="575">
        <v>398.95</v>
      </c>
      <c r="H37" s="576">
        <f>K37/E37*1000</f>
        <v>1046.8200732064422</v>
      </c>
      <c r="I37" s="567">
        <f>$D$37*$F$37*12/1000</f>
        <v>442.49526000000003</v>
      </c>
      <c r="J37" s="566">
        <f>$E$37*$G$37/1000</f>
        <v>272.48284999999998</v>
      </c>
      <c r="K37" s="605">
        <f>I37+J37</f>
        <v>714.97811000000002</v>
      </c>
      <c r="L37" s="579"/>
      <c r="M37" s="580"/>
      <c r="N37" s="300">
        <f>E37*H37/1000</f>
        <v>714.97811000000002</v>
      </c>
    </row>
    <row r="38" spans="1:15" hidden="1">
      <c r="F38" s="78"/>
      <c r="G38" s="78"/>
      <c r="H38" s="78"/>
      <c r="L38" s="13"/>
      <c r="M38" s="13"/>
      <c r="N38" s="13"/>
    </row>
    <row r="39" spans="1:15">
      <c r="B39" s="44" t="s">
        <v>257</v>
      </c>
      <c r="C39" s="44"/>
      <c r="L39" s="13"/>
      <c r="M39" s="13"/>
      <c r="N39" s="13"/>
    </row>
    <row r="40" spans="1:15">
      <c r="D40" s="44" t="s">
        <v>1082</v>
      </c>
      <c r="E40" s="1160">
        <f>'Баланс электрической энергии'!C19*1000</f>
        <v>1410.6049</v>
      </c>
      <c r="F40" s="13" t="s">
        <v>326</v>
      </c>
      <c r="H40" s="563">
        <f>E36+E37+E29+E40</f>
        <v>16111.974900000001</v>
      </c>
      <c r="L40" s="13"/>
      <c r="M40" s="13"/>
      <c r="N40" s="13"/>
    </row>
    <row r="41" spans="1:15">
      <c r="D41" s="44" t="s">
        <v>327</v>
      </c>
      <c r="E41" s="308" t="e">
        <f>#REF!*1000</f>
        <v>#REF!</v>
      </c>
      <c r="F41" s="13" t="s">
        <v>328</v>
      </c>
      <c r="L41" s="13"/>
      <c r="M41" s="13"/>
      <c r="N41" s="13"/>
    </row>
    <row r="42" spans="1:15" hidden="1"/>
    <row r="43" spans="1:15" hidden="1">
      <c r="E43" s="13" t="s">
        <v>328</v>
      </c>
      <c r="G43" s="377" t="s">
        <v>623</v>
      </c>
      <c r="H43" s="377"/>
      <c r="I43" s="377"/>
      <c r="J43" s="377"/>
      <c r="K43" s="377"/>
    </row>
    <row r="44" spans="1:15" hidden="1">
      <c r="E44" s="384"/>
      <c r="F44" s="383"/>
      <c r="G44" s="378" t="s">
        <v>322</v>
      </c>
      <c r="H44" s="378"/>
      <c r="I44" s="378"/>
      <c r="J44" s="382" t="s">
        <v>509</v>
      </c>
      <c r="K44" s="382"/>
      <c r="L44" s="13"/>
      <c r="M44" s="13"/>
      <c r="N44" s="13"/>
      <c r="O44" s="309"/>
    </row>
    <row r="45" spans="1:15" ht="27" hidden="1">
      <c r="E45" s="384"/>
      <c r="F45" s="383"/>
      <c r="G45" s="379" t="s">
        <v>323</v>
      </c>
      <c r="H45" s="379" t="s">
        <v>35</v>
      </c>
      <c r="I45" s="380" t="s">
        <v>508</v>
      </c>
      <c r="J45" s="377"/>
      <c r="K45" s="377"/>
      <c r="L45" s="13"/>
      <c r="M45" s="13"/>
      <c r="N45" s="13"/>
      <c r="O45" s="310"/>
    </row>
    <row r="46" spans="1:15" hidden="1">
      <c r="E46" s="384"/>
      <c r="F46" s="383"/>
      <c r="G46" s="125"/>
      <c r="H46" s="125"/>
      <c r="I46" s="125"/>
      <c r="J46" s="377"/>
      <c r="K46" s="377"/>
      <c r="L46" s="13"/>
      <c r="M46" s="13"/>
      <c r="N46" s="13"/>
      <c r="O46" s="309"/>
    </row>
    <row r="47" spans="1:15" hidden="1">
      <c r="E47" s="384"/>
      <c r="F47" s="383" t="s">
        <v>624</v>
      </c>
      <c r="G47" s="125"/>
      <c r="H47" s="125"/>
      <c r="I47" s="125"/>
      <c r="J47" s="377"/>
      <c r="K47" s="377"/>
    </row>
    <row r="48" spans="1:15" hidden="1">
      <c r="E48" s="384"/>
      <c r="F48" s="383" t="s">
        <v>324</v>
      </c>
      <c r="G48" s="381"/>
      <c r="H48" s="381"/>
      <c r="I48" s="381"/>
      <c r="J48" s="377"/>
      <c r="K48" s="381"/>
    </row>
    <row r="49" spans="2:14" hidden="1">
      <c r="E49" s="384"/>
      <c r="F49" s="383" t="s">
        <v>350</v>
      </c>
      <c r="G49" s="381"/>
      <c r="H49" s="381"/>
      <c r="I49" s="381"/>
      <c r="J49" s="377"/>
      <c r="K49" s="381"/>
    </row>
    <row r="50" spans="2:14" hidden="1">
      <c r="E50" s="384"/>
      <c r="F50" s="383" t="s">
        <v>621</v>
      </c>
      <c r="G50" s="381"/>
      <c r="H50" s="381"/>
      <c r="I50" s="381"/>
      <c r="J50" s="377"/>
      <c r="K50" s="381"/>
    </row>
    <row r="51" spans="2:14" hidden="1">
      <c r="E51" s="384"/>
      <c r="F51" s="383" t="s">
        <v>186</v>
      </c>
      <c r="G51" s="381"/>
      <c r="H51" s="381"/>
      <c r="I51" s="381"/>
      <c r="J51" s="377"/>
      <c r="K51" s="381"/>
    </row>
    <row r="52" spans="2:14" hidden="1"/>
    <row r="53" spans="2:14" hidden="1"/>
    <row r="54" spans="2:14" hidden="1">
      <c r="K54" s="78"/>
      <c r="L54" s="13"/>
      <c r="M54" s="13"/>
      <c r="N54" s="13"/>
    </row>
    <row r="55" spans="2:14" hidden="1"/>
    <row r="56" spans="2:14" hidden="1"/>
    <row r="57" spans="2:14" ht="12.75" customHeight="1">
      <c r="B57" s="4" t="s">
        <v>510</v>
      </c>
      <c r="C57" s="4"/>
      <c r="D57" s="4"/>
      <c r="E57" s="4"/>
      <c r="F57" s="4"/>
      <c r="G57" s="100"/>
      <c r="H57" s="101"/>
    </row>
    <row r="58" spans="2:14">
      <c r="B58" s="1987" t="s">
        <v>242</v>
      </c>
      <c r="C58" s="6"/>
      <c r="D58" s="6"/>
      <c r="E58" s="2000" t="s">
        <v>243</v>
      </c>
      <c r="F58" s="17" t="s">
        <v>244</v>
      </c>
      <c r="G58" s="1987" t="s">
        <v>245</v>
      </c>
      <c r="H58" s="4"/>
    </row>
    <row r="59" spans="2:14" ht="66.599999999999994">
      <c r="B59" s="1999"/>
      <c r="C59" s="11"/>
      <c r="D59" s="11"/>
      <c r="E59" s="2001"/>
      <c r="F59" s="17" t="s">
        <v>246</v>
      </c>
      <c r="G59" s="1988"/>
      <c r="H59" s="4"/>
    </row>
    <row r="60" spans="2:14" ht="16.8">
      <c r="B60" s="1999"/>
      <c r="C60" s="11"/>
      <c r="D60" s="11"/>
      <c r="E60" s="81" t="s">
        <v>247</v>
      </c>
      <c r="F60" s="81" t="s">
        <v>248</v>
      </c>
      <c r="G60" s="9"/>
      <c r="H60" s="101" t="s">
        <v>241</v>
      </c>
    </row>
    <row r="61" spans="2:14" ht="15.75" customHeight="1">
      <c r="B61" s="1988"/>
      <c r="C61" s="7"/>
      <c r="D61" s="7"/>
      <c r="E61" s="9" t="s">
        <v>44</v>
      </c>
      <c r="F61" s="9" t="s">
        <v>249</v>
      </c>
      <c r="G61" s="9" t="s">
        <v>249</v>
      </c>
      <c r="H61" s="100"/>
    </row>
    <row r="62" spans="2:14">
      <c r="B62" s="9" t="s">
        <v>226</v>
      </c>
      <c r="C62" s="538"/>
      <c r="D62" s="538"/>
      <c r="E62" s="539">
        <v>364484.63</v>
      </c>
      <c r="F62" s="539">
        <v>151.36000000000001</v>
      </c>
      <c r="G62" s="539">
        <v>671</v>
      </c>
      <c r="H62" s="540">
        <f>(E62*12/(G62-F62))</f>
        <v>8417.0109306442937</v>
      </c>
    </row>
    <row r="63" spans="2:14">
      <c r="B63" s="9" t="s">
        <v>211</v>
      </c>
      <c r="C63" s="9"/>
      <c r="D63" s="9"/>
      <c r="E63" s="191">
        <v>684381.17</v>
      </c>
      <c r="F63" s="191">
        <v>162.12</v>
      </c>
      <c r="G63" s="191">
        <v>1153.6500000000001</v>
      </c>
      <c r="H63" s="100">
        <f>(E63*12/(G63-F63))</f>
        <v>8282.7287525339634</v>
      </c>
    </row>
    <row r="64" spans="2:14">
      <c r="B64" s="17" t="s">
        <v>253</v>
      </c>
      <c r="C64" s="17"/>
      <c r="D64" s="17"/>
      <c r="E64" s="191">
        <v>942948.34</v>
      </c>
      <c r="F64" s="191">
        <v>414.16</v>
      </c>
      <c r="G64" s="191">
        <v>1847.1</v>
      </c>
      <c r="H64" s="100">
        <f>(E64*12/(G64-F64))</f>
        <v>7896.6181975518875</v>
      </c>
    </row>
    <row r="65" spans="2:8">
      <c r="B65" s="9" t="s">
        <v>215</v>
      </c>
      <c r="C65" s="538"/>
      <c r="D65" s="538"/>
      <c r="E65" s="539">
        <v>1640145.12</v>
      </c>
      <c r="F65" s="539">
        <v>472.06</v>
      </c>
      <c r="G65" s="539">
        <v>2747.68</v>
      </c>
      <c r="H65" s="540">
        <f>(E65*12/(G65-F65))</f>
        <v>8648.9578400611717</v>
      </c>
    </row>
    <row r="66" spans="2:8">
      <c r="B66" s="341" t="s">
        <v>352</v>
      </c>
      <c r="C66" s="341"/>
      <c r="D66" s="341"/>
      <c r="E66" s="342">
        <v>133702.84</v>
      </c>
      <c r="F66" s="342">
        <v>150</v>
      </c>
      <c r="G66" s="342">
        <v>437.28</v>
      </c>
      <c r="H66" s="196">
        <f>(E66*12/(G66-F66))</f>
        <v>5584.9139515455308</v>
      </c>
    </row>
    <row r="67" spans="2:8">
      <c r="B67" s="47"/>
      <c r="C67" s="47"/>
      <c r="D67" s="47"/>
      <c r="E67" s="47"/>
      <c r="F67" s="47"/>
      <c r="G67" s="47"/>
      <c r="H67" s="47"/>
    </row>
  </sheetData>
  <mergeCells count="14">
    <mergeCell ref="F6:F7"/>
    <mergeCell ref="B15:B17"/>
    <mergeCell ref="D15:E16"/>
    <mergeCell ref="A15:A17"/>
    <mergeCell ref="B6:B9"/>
    <mergeCell ref="D6:D7"/>
    <mergeCell ref="E6:E7"/>
    <mergeCell ref="B58:B61"/>
    <mergeCell ref="E58:E59"/>
    <mergeCell ref="A22:A23"/>
    <mergeCell ref="B22:E23"/>
    <mergeCell ref="G58:G59"/>
    <mergeCell ref="A30:A31"/>
    <mergeCell ref="B30:B31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S67"/>
  <sheetViews>
    <sheetView topLeftCell="A18" zoomScaleNormal="100" workbookViewId="0">
      <selection activeCell="K8" sqref="K8"/>
    </sheetView>
  </sheetViews>
  <sheetFormatPr defaultColWidth="9.109375" defaultRowHeight="15.6"/>
  <cols>
    <col min="1" max="1" width="6" style="13" customWidth="1"/>
    <col min="2" max="2" width="42.6640625" style="13" customWidth="1"/>
    <col min="3" max="3" width="9" style="13" customWidth="1"/>
    <col min="4" max="4" width="11.109375" style="13" customWidth="1"/>
    <col min="5" max="5" width="12.44140625" style="13" customWidth="1"/>
    <col min="6" max="6" width="12.88671875" style="13" customWidth="1"/>
    <col min="7" max="7" width="12.44140625" style="13" customWidth="1"/>
    <col min="8" max="8" width="11" style="13" customWidth="1"/>
    <col min="9" max="9" width="13.109375" style="13" customWidth="1"/>
    <col min="10" max="10" width="10.44140625" style="13" customWidth="1"/>
    <col min="11" max="11" width="12" style="13" customWidth="1"/>
    <col min="12" max="13" width="9" style="78" customWidth="1"/>
    <col min="14" max="14" width="12.5546875" style="78" bestFit="1" customWidth="1"/>
    <col min="15" max="15" width="9.109375" style="13"/>
    <col min="16" max="16" width="10.44140625" style="13" customWidth="1"/>
    <col min="17" max="18" width="9.109375" style="13"/>
    <col min="19" max="19" width="11.6640625" style="13" customWidth="1"/>
    <col min="20" max="16384" width="9.109375" style="13"/>
  </cols>
  <sheetData>
    <row r="1" spans="1:14">
      <c r="A1" s="49" t="s">
        <v>622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97"/>
      <c r="M1" s="197"/>
      <c r="N1" s="197"/>
    </row>
    <row r="2" spans="1:14">
      <c r="A2" s="49" t="s">
        <v>628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197"/>
      <c r="M2" s="197"/>
      <c r="N2" s="197"/>
    </row>
    <row r="3" spans="1:14" ht="16.2" thickBot="1">
      <c r="A3" s="49"/>
      <c r="B3" s="55"/>
      <c r="C3" s="55"/>
      <c r="D3" s="55"/>
      <c r="E3" s="55"/>
      <c r="F3" s="55"/>
      <c r="G3" s="55"/>
      <c r="H3" s="55"/>
      <c r="I3" s="55"/>
      <c r="J3" s="55"/>
      <c r="K3" s="55"/>
      <c r="L3" s="197"/>
      <c r="M3" s="197"/>
      <c r="N3" s="197"/>
    </row>
    <row r="4" spans="1:14" ht="16.2" hidden="1" thickBot="1">
      <c r="B4" s="198" t="s">
        <v>286</v>
      </c>
      <c r="C4" s="198"/>
      <c r="D4" s="78"/>
      <c r="E4" s="78"/>
      <c r="F4" s="78"/>
      <c r="G4" s="78"/>
      <c r="H4" s="78"/>
      <c r="I4" s="78"/>
    </row>
    <row r="5" spans="1:14" ht="16.2" hidden="1" thickBot="1">
      <c r="B5" s="78"/>
      <c r="C5" s="78"/>
      <c r="D5" s="78"/>
      <c r="E5" s="78"/>
      <c r="H5" s="78"/>
      <c r="I5" s="78"/>
    </row>
    <row r="6" spans="1:14" ht="27.75" hidden="1" customHeight="1">
      <c r="B6" s="1975" t="s">
        <v>242</v>
      </c>
      <c r="C6" s="527"/>
      <c r="D6" s="2002" t="s">
        <v>243</v>
      </c>
      <c r="E6" s="2002" t="s">
        <v>288</v>
      </c>
      <c r="F6" s="2004" t="s">
        <v>245</v>
      </c>
    </row>
    <row r="7" spans="1:14" ht="48" hidden="1" customHeight="1">
      <c r="B7" s="1976"/>
      <c r="C7" s="528"/>
      <c r="D7" s="2003"/>
      <c r="E7" s="2003"/>
      <c r="F7" s="2004"/>
    </row>
    <row r="8" spans="1:14" ht="18.600000000000001" hidden="1" thickBot="1">
      <c r="B8" s="1976"/>
      <c r="C8" s="528"/>
      <c r="D8" s="199" t="s">
        <v>289</v>
      </c>
      <c r="E8" s="199" t="s">
        <v>290</v>
      </c>
      <c r="F8" s="35"/>
    </row>
    <row r="9" spans="1:14" ht="31.8" hidden="1" thickBot="1">
      <c r="B9" s="1977"/>
      <c r="C9" s="529"/>
      <c r="D9" s="35" t="s">
        <v>44</v>
      </c>
      <c r="E9" s="35" t="s">
        <v>35</v>
      </c>
      <c r="F9" s="35" t="s">
        <v>35</v>
      </c>
      <c r="G9" s="198" t="s">
        <v>241</v>
      </c>
    </row>
    <row r="10" spans="1:14" ht="16.2" hidden="1" thickBot="1">
      <c r="B10" s="35" t="s">
        <v>226</v>
      </c>
      <c r="C10" s="35"/>
      <c r="D10" s="200">
        <v>300621.82</v>
      </c>
      <c r="E10" s="200">
        <v>176.8</v>
      </c>
      <c r="F10" s="201">
        <v>592.41</v>
      </c>
      <c r="G10" s="202">
        <f>(D10*12/(F10-E10))</f>
        <v>8679.9206948822211</v>
      </c>
    </row>
    <row r="11" spans="1:14" ht="16.2" hidden="1" thickBot="1">
      <c r="B11" s="35" t="s">
        <v>211</v>
      </c>
      <c r="C11" s="35"/>
      <c r="D11" s="200">
        <v>490793.23</v>
      </c>
      <c r="E11" s="200">
        <v>180</v>
      </c>
      <c r="F11" s="201">
        <v>969.48</v>
      </c>
      <c r="G11" s="202">
        <f>(D11*12/(F11-E11))</f>
        <v>7459.9974160206712</v>
      </c>
      <c r="H11" s="203"/>
      <c r="I11" s="204"/>
      <c r="L11" s="205"/>
    </row>
    <row r="12" spans="1:14" ht="16.2" hidden="1" thickBot="1">
      <c r="B12" s="206" t="s">
        <v>253</v>
      </c>
      <c r="C12" s="206"/>
      <c r="D12" s="200">
        <v>680321</v>
      </c>
      <c r="E12" s="200">
        <v>210</v>
      </c>
      <c r="F12" s="201">
        <v>1441.35</v>
      </c>
      <c r="G12" s="202">
        <f>(D12*12/(F12-E12))</f>
        <v>6630.0012181751745</v>
      </c>
      <c r="H12" s="44" t="s">
        <v>291</v>
      </c>
    </row>
    <row r="13" spans="1:14" ht="16.2" hidden="1" thickBot="1">
      <c r="B13" s="35" t="s">
        <v>215</v>
      </c>
      <c r="C13" s="35"/>
      <c r="D13" s="200">
        <v>851305.82</v>
      </c>
      <c r="E13" s="200">
        <v>432</v>
      </c>
      <c r="F13" s="201">
        <v>2296.17</v>
      </c>
      <c r="G13" s="202">
        <f>(D13*12/(F13-E13))</f>
        <v>5480.0097845153605</v>
      </c>
      <c r="H13" s="207">
        <f>(365-53)*16</f>
        <v>4992</v>
      </c>
      <c r="I13" s="13" t="s">
        <v>285</v>
      </c>
      <c r="L13" s="78" t="s">
        <v>285</v>
      </c>
    </row>
    <row r="14" spans="1:14" ht="16.2" hidden="1" thickBot="1">
      <c r="B14" s="39"/>
      <c r="C14" s="39"/>
      <c r="D14" s="208"/>
      <c r="E14" s="208"/>
      <c r="F14" s="209"/>
      <c r="G14" s="202"/>
      <c r="H14" s="207"/>
    </row>
    <row r="15" spans="1:14" ht="16.2" thickBot="1">
      <c r="A15" s="2005"/>
      <c r="B15" s="2008" t="s">
        <v>292</v>
      </c>
      <c r="C15" s="531"/>
      <c r="D15" s="2011" t="s">
        <v>293</v>
      </c>
      <c r="E15" s="2012"/>
      <c r="F15" s="210" t="s">
        <v>294</v>
      </c>
      <c r="G15" s="211"/>
      <c r="H15" s="212"/>
      <c r="I15" s="213" t="s">
        <v>295</v>
      </c>
      <c r="J15" s="214"/>
      <c r="K15" s="214"/>
      <c r="L15" s="215"/>
      <c r="M15" s="216"/>
      <c r="N15" s="217"/>
    </row>
    <row r="16" spans="1:14" ht="27.6">
      <c r="A16" s="2006"/>
      <c r="B16" s="2009"/>
      <c r="C16" s="559"/>
      <c r="D16" s="2013"/>
      <c r="E16" s="2014"/>
      <c r="F16" s="218" t="s">
        <v>296</v>
      </c>
      <c r="G16" s="219"/>
      <c r="H16" s="220" t="s">
        <v>297</v>
      </c>
      <c r="I16" s="221" t="s">
        <v>298</v>
      </c>
      <c r="J16" s="222"/>
      <c r="K16" s="223"/>
      <c r="L16" s="604" t="s">
        <v>614</v>
      </c>
      <c r="M16" s="224"/>
      <c r="N16" s="1145"/>
    </row>
    <row r="17" spans="1:19" s="233" customFormat="1" ht="80.25" customHeight="1">
      <c r="A17" s="2007"/>
      <c r="B17" s="2010"/>
      <c r="C17" s="530"/>
      <c r="D17" s="79" t="s">
        <v>299</v>
      </c>
      <c r="E17" s="225" t="s">
        <v>300</v>
      </c>
      <c r="F17" s="226" t="s">
        <v>301</v>
      </c>
      <c r="G17" s="9" t="s">
        <v>302</v>
      </c>
      <c r="H17" s="227" t="s">
        <v>303</v>
      </c>
      <c r="I17" s="228" t="s">
        <v>304</v>
      </c>
      <c r="J17" s="79" t="s">
        <v>305</v>
      </c>
      <c r="K17" s="229" t="s">
        <v>103</v>
      </c>
      <c r="L17" s="230" t="s">
        <v>626</v>
      </c>
      <c r="M17" s="231" t="s">
        <v>305</v>
      </c>
      <c r="N17" s="232" t="s">
        <v>103</v>
      </c>
    </row>
    <row r="18" spans="1:19" s="245" customFormat="1" ht="28.5" customHeight="1">
      <c r="A18" s="234">
        <v>1</v>
      </c>
      <c r="B18" s="235">
        <v>2</v>
      </c>
      <c r="C18" s="235"/>
      <c r="D18" s="236">
        <v>3</v>
      </c>
      <c r="E18" s="237">
        <v>4</v>
      </c>
      <c r="F18" s="238">
        <v>5</v>
      </c>
      <c r="G18" s="236">
        <v>6</v>
      </c>
      <c r="H18" s="239">
        <v>7</v>
      </c>
      <c r="I18" s="240" t="s">
        <v>306</v>
      </c>
      <c r="J18" s="241" t="s">
        <v>307</v>
      </c>
      <c r="K18" s="242" t="s">
        <v>308</v>
      </c>
      <c r="L18" s="238">
        <v>11</v>
      </c>
      <c r="M18" s="236">
        <v>12</v>
      </c>
      <c r="N18" s="239">
        <v>13</v>
      </c>
      <c r="O18" s="243" t="s">
        <v>309</v>
      </c>
      <c r="P18" s="244"/>
      <c r="Q18" s="1149" t="s">
        <v>1083</v>
      </c>
      <c r="R18" s="1150"/>
      <c r="S18" s="1151"/>
    </row>
    <row r="19" spans="1:19" ht="17.399999999999999">
      <c r="A19" s="246" t="s">
        <v>310</v>
      </c>
      <c r="B19" s="183" t="s">
        <v>311</v>
      </c>
      <c r="C19" s="183"/>
      <c r="D19" s="247"/>
      <c r="E19" s="248"/>
      <c r="F19" s="249"/>
      <c r="G19" s="247"/>
      <c r="H19" s="250"/>
      <c r="I19" s="251">
        <f>'НВВ на содержание'!G8</f>
        <v>2006.8</v>
      </c>
      <c r="J19" s="252">
        <f>2623.4</f>
        <v>2623.4</v>
      </c>
      <c r="K19" s="253">
        <f>ROUND((I19+J19),1)</f>
        <v>4630.2</v>
      </c>
      <c r="L19" s="254"/>
      <c r="M19" s="255"/>
      <c r="N19" s="256">
        <f>N23-N31+N34</f>
        <v>4083.7720925900003</v>
      </c>
      <c r="O19" s="243" t="e">
        <f>$E$40*$E$41/1000</f>
        <v>#REF!</v>
      </c>
      <c r="Q19" s="1149">
        <f>N23+K34-N32-K33</f>
        <v>3994.6604458200009</v>
      </c>
      <c r="R19" s="1151"/>
      <c r="S19" s="1152"/>
    </row>
    <row r="20" spans="1:19" ht="16.2" thickBot="1">
      <c r="A20" s="257"/>
      <c r="B20" s="247" t="s">
        <v>312</v>
      </c>
      <c r="C20" s="247"/>
      <c r="D20" s="247"/>
      <c r="E20" s="248"/>
      <c r="F20" s="258"/>
      <c r="G20" s="259"/>
      <c r="H20" s="260"/>
      <c r="I20" s="577">
        <f>I23+I34-I31</f>
        <v>3727.0075812000005</v>
      </c>
      <c r="J20" s="261">
        <f>ROUND((J23+J34-J31),1)</f>
        <v>1165.2</v>
      </c>
      <c r="K20" s="253">
        <f>ROUND((I20+J20),1)</f>
        <v>4892.2</v>
      </c>
      <c r="L20" s="262"/>
      <c r="M20" s="181"/>
      <c r="N20" s="263"/>
      <c r="Q20" s="243"/>
    </row>
    <row r="21" spans="1:19" ht="1.5" hidden="1" customHeight="1">
      <c r="A21" s="264"/>
      <c r="B21" s="265" t="s">
        <v>313</v>
      </c>
      <c r="C21" s="265"/>
      <c r="D21" s="265"/>
      <c r="E21" s="266"/>
      <c r="F21" s="267"/>
      <c r="G21" s="268"/>
      <c r="H21" s="269"/>
      <c r="I21" s="270">
        <f>K19-K20</f>
        <v>-262</v>
      </c>
      <c r="J21" s="271"/>
      <c r="K21" s="272"/>
      <c r="L21" s="273"/>
      <c r="M21" s="274"/>
      <c r="N21" s="275"/>
    </row>
    <row r="22" spans="1:19" ht="15.75" customHeight="1">
      <c r="A22" s="1989" t="s">
        <v>314</v>
      </c>
      <c r="B22" s="1991" t="s">
        <v>1076</v>
      </c>
      <c r="C22" s="1992"/>
      <c r="D22" s="1993"/>
      <c r="E22" s="1993"/>
      <c r="F22" s="276"/>
      <c r="G22" s="277"/>
      <c r="H22" s="278"/>
      <c r="I22" s="279" t="s">
        <v>315</v>
      </c>
      <c r="J22" s="280"/>
      <c r="K22" s="281"/>
      <c r="L22" s="282" t="s">
        <v>316</v>
      </c>
      <c r="M22" s="280"/>
      <c r="N22" s="283"/>
    </row>
    <row r="23" spans="1:19" ht="24" customHeight="1">
      <c r="A23" s="1990"/>
      <c r="B23" s="1994"/>
      <c r="C23" s="1995"/>
      <c r="D23" s="1995"/>
      <c r="E23" s="1995"/>
      <c r="F23" s="284"/>
      <c r="G23" s="285"/>
      <c r="H23" s="286"/>
      <c r="I23" s="287">
        <f>SUM(I25:I29)</f>
        <v>5163.4637591999999</v>
      </c>
      <c r="J23" s="288">
        <f>SUM(J25:J29)</f>
        <v>1214.0162800000001</v>
      </c>
      <c r="K23" s="289">
        <f>I23+J23</f>
        <v>6377.4800391999997</v>
      </c>
      <c r="L23" s="262"/>
      <c r="M23" s="181"/>
      <c r="N23" s="289">
        <f>SUM(N25:N29)</f>
        <v>5486.4000000000005</v>
      </c>
      <c r="O23" s="564">
        <f>N23-K23</f>
        <v>-891.08003919999919</v>
      </c>
      <c r="P23" s="578">
        <f>N19-K20</f>
        <v>-808.42790740999953</v>
      </c>
    </row>
    <row r="24" spans="1:19" ht="27.75" customHeight="1">
      <c r="A24" s="249"/>
      <c r="B24" s="247" t="s">
        <v>317</v>
      </c>
      <c r="C24" s="560" t="s">
        <v>616</v>
      </c>
      <c r="D24" s="1139">
        <f>SUM(D25:D29)</f>
        <v>1.05</v>
      </c>
      <c r="E24" s="1138">
        <f>SUM(E25:E29)</f>
        <v>7417.25</v>
      </c>
      <c r="F24" s="249"/>
      <c r="G24" s="247"/>
      <c r="H24" s="250"/>
      <c r="I24" s="287"/>
      <c r="J24" s="288"/>
      <c r="K24" s="289"/>
      <c r="L24" s="262"/>
      <c r="M24" s="181"/>
      <c r="N24" s="289"/>
    </row>
    <row r="25" spans="1:19">
      <c r="A25" s="257"/>
      <c r="B25" s="291" t="s">
        <v>1075</v>
      </c>
      <c r="C25" s="1154">
        <f>E25/D25</f>
        <v>7205.2083333333339</v>
      </c>
      <c r="D25" s="1158">
        <v>0.96</v>
      </c>
      <c r="E25" s="1159">
        <v>6917</v>
      </c>
      <c r="F25" s="292">
        <f>E62</f>
        <v>364484.63</v>
      </c>
      <c r="G25" s="293">
        <f>F62</f>
        <v>151.36000000000001</v>
      </c>
      <c r="H25" s="294">
        <f>G62</f>
        <v>671</v>
      </c>
      <c r="I25" s="520">
        <f>D25*F25*12/1000</f>
        <v>4198.8629375999999</v>
      </c>
      <c r="J25" s="520">
        <f>E25*G25/1000</f>
        <v>1046.95712</v>
      </c>
      <c r="K25" s="521">
        <f>I25+J25</f>
        <v>5245.8200575999999</v>
      </c>
      <c r="L25" s="1141"/>
      <c r="M25" s="520"/>
      <c r="N25" s="521">
        <f>ROUND((E25*H25/1000),1)</f>
        <v>4641.3</v>
      </c>
    </row>
    <row r="26" spans="1:19">
      <c r="A26" s="257"/>
      <c r="B26" s="291" t="s">
        <v>318</v>
      </c>
      <c r="C26" s="1154">
        <f>E26/D26</f>
        <v>6965</v>
      </c>
      <c r="D26" s="1158">
        <v>0.01</v>
      </c>
      <c r="E26" s="1159">
        <v>69.650000000000006</v>
      </c>
      <c r="F26" s="292">
        <f t="shared" ref="F26:H28" si="0">E64</f>
        <v>942948.34</v>
      </c>
      <c r="G26" s="293">
        <f t="shared" si="0"/>
        <v>414.16</v>
      </c>
      <c r="H26" s="294">
        <f t="shared" si="0"/>
        <v>1847.1</v>
      </c>
      <c r="I26" s="520">
        <f>D26*F26*12/1000</f>
        <v>113.1538008</v>
      </c>
      <c r="J26" s="520">
        <f>E26*G26/1000</f>
        <v>28.846244000000002</v>
      </c>
      <c r="K26" s="521">
        <f>I26+J26</f>
        <v>142.00004480000001</v>
      </c>
      <c r="L26" s="1141"/>
      <c r="M26" s="520"/>
      <c r="N26" s="521">
        <f>ROUND((E26*H26/1000),1)</f>
        <v>128.69999999999999</v>
      </c>
    </row>
    <row r="27" spans="1:19">
      <c r="A27" s="257"/>
      <c r="B27" s="295" t="s">
        <v>1074</v>
      </c>
      <c r="C27" s="1154">
        <f>E27/D27</f>
        <v>5715</v>
      </c>
      <c r="D27" s="1139">
        <v>0.04</v>
      </c>
      <c r="E27" s="1138">
        <v>228.6</v>
      </c>
      <c r="F27" s="292">
        <f t="shared" si="0"/>
        <v>1640145.12</v>
      </c>
      <c r="G27" s="293">
        <f t="shared" si="0"/>
        <v>472.06</v>
      </c>
      <c r="H27" s="294">
        <f t="shared" si="0"/>
        <v>2747.68</v>
      </c>
      <c r="I27" s="520">
        <f>D27*F27*12/1000</f>
        <v>787.26965760000019</v>
      </c>
      <c r="J27" s="520">
        <f>E27*G27/1000</f>
        <v>107.912916</v>
      </c>
      <c r="K27" s="521">
        <f>I27+J27</f>
        <v>895.18257360000018</v>
      </c>
      <c r="L27" s="1141"/>
      <c r="M27" s="520"/>
      <c r="N27" s="521">
        <f>ROUND((E27*H27/1000),1)</f>
        <v>628.1</v>
      </c>
    </row>
    <row r="28" spans="1:19" s="358" customFormat="1" ht="28.2">
      <c r="A28" s="257"/>
      <c r="B28" s="295" t="s">
        <v>1073</v>
      </c>
      <c r="C28" s="1154" t="e">
        <f>E28/D28</f>
        <v>#DIV/0!</v>
      </c>
      <c r="D28" s="1139"/>
      <c r="E28" s="1138"/>
      <c r="F28" s="292">
        <f t="shared" si="0"/>
        <v>133702.84</v>
      </c>
      <c r="G28" s="293">
        <f t="shared" si="0"/>
        <v>150</v>
      </c>
      <c r="H28" s="294">
        <f t="shared" si="0"/>
        <v>437.28</v>
      </c>
      <c r="I28" s="520">
        <f>D28*F28*12/1000</f>
        <v>0</v>
      </c>
      <c r="J28" s="520">
        <f>E28*G28/1000</f>
        <v>0</v>
      </c>
      <c r="K28" s="521">
        <f>I28+J28</f>
        <v>0</v>
      </c>
      <c r="L28" s="1141"/>
      <c r="M28" s="520"/>
      <c r="N28" s="521">
        <f>ROUND((E28*H28/1000),1)</f>
        <v>0</v>
      </c>
    </row>
    <row r="29" spans="1:19" s="358" customFormat="1" ht="28.8" thickBot="1">
      <c r="A29" s="368"/>
      <c r="B29" s="295" t="s">
        <v>319</v>
      </c>
      <c r="C29" s="582">
        <f>E29/D29</f>
        <v>5050</v>
      </c>
      <c r="D29" s="1140">
        <v>0.04</v>
      </c>
      <c r="E29" s="297">
        <v>202</v>
      </c>
      <c r="F29" s="372">
        <f>F28</f>
        <v>133702.84</v>
      </c>
      <c r="G29" s="373">
        <f>G28</f>
        <v>150</v>
      </c>
      <c r="H29" s="374">
        <f>G66</f>
        <v>437.28</v>
      </c>
      <c r="I29" s="298">
        <f>D29*F29*12/1000</f>
        <v>64.177363199999988</v>
      </c>
      <c r="J29" s="299">
        <f>E29*G29/1000</f>
        <v>30.3</v>
      </c>
      <c r="K29" s="300">
        <f>I29+J29</f>
        <v>94.477363199999985</v>
      </c>
      <c r="L29" s="298"/>
      <c r="M29" s="1142"/>
      <c r="N29" s="300">
        <f>ROUND((E29*H29/1000),1)</f>
        <v>88.3</v>
      </c>
      <c r="O29" s="13"/>
    </row>
    <row r="30" spans="1:19" ht="16.5" customHeight="1">
      <c r="A30" s="1996" t="s">
        <v>320</v>
      </c>
      <c r="B30" s="1997" t="s">
        <v>1077</v>
      </c>
      <c r="C30" s="1155"/>
      <c r="D30" s="301" t="s">
        <v>321</v>
      </c>
      <c r="E30" s="332"/>
      <c r="F30" s="334" t="s">
        <v>322</v>
      </c>
      <c r="G30" s="301"/>
      <c r="H30" s="301"/>
      <c r="I30" s="302" t="s">
        <v>315</v>
      </c>
      <c r="J30" s="303"/>
      <c r="K30" s="304"/>
      <c r="L30" s="282" t="s">
        <v>316</v>
      </c>
      <c r="M30" s="303"/>
      <c r="N30" s="304"/>
    </row>
    <row r="31" spans="1:19" ht="27.6">
      <c r="A31" s="1990"/>
      <c r="B31" s="1998"/>
      <c r="C31" s="1156"/>
      <c r="D31" s="231" t="s">
        <v>299</v>
      </c>
      <c r="E31" s="333" t="s">
        <v>300</v>
      </c>
      <c r="F31" s="335" t="s">
        <v>323</v>
      </c>
      <c r="G31" s="305" t="s">
        <v>35</v>
      </c>
      <c r="H31" s="376" t="s">
        <v>508</v>
      </c>
      <c r="I31" s="1141">
        <f>SUM(I32:I33)</f>
        <v>5162.2075864799999</v>
      </c>
      <c r="J31" s="520">
        <f>SUM(J32:J33)</f>
        <v>1930.7856701799999</v>
      </c>
      <c r="K31" s="1153">
        <f>SUM(K32:K33)</f>
        <v>7092.99325666</v>
      </c>
      <c r="L31" s="570">
        <f>SUM(L33:L33)</f>
        <v>0</v>
      </c>
      <c r="M31" s="431">
        <f>SUM(M33:M33)</f>
        <v>0</v>
      </c>
      <c r="N31" s="583">
        <f>SUM(N32:N33)</f>
        <v>7010.0425975200005</v>
      </c>
    </row>
    <row r="32" spans="1:19" ht="22.5" customHeight="1">
      <c r="A32" s="306">
        <v>1</v>
      </c>
      <c r="B32" s="247" t="s">
        <v>1079</v>
      </c>
      <c r="C32" s="581">
        <f>E32/D32</f>
        <v>7183.2162162162167</v>
      </c>
      <c r="D32" s="1146">
        <f>'П1.30 - 07.06.11г.'!D137</f>
        <v>7.3999999999999996E-2</v>
      </c>
      <c r="E32" s="1147">
        <f>'П1.30 - 07.06.11г.'!C137</f>
        <v>531.55799999999999</v>
      </c>
      <c r="F32" s="568">
        <v>279175.21000000002</v>
      </c>
      <c r="G32" s="569">
        <v>108.71</v>
      </c>
      <c r="H32" s="1148">
        <f>K32/E32*1000+12.17</f>
        <v>587.25918435993799</v>
      </c>
      <c r="I32" s="262">
        <f>$D32*$F32*12/1000</f>
        <v>247.90758647999999</v>
      </c>
      <c r="J32" s="181">
        <f>$E32*$G32/1000</f>
        <v>57.785670179999997</v>
      </c>
      <c r="K32" s="263">
        <f>I32+J32</f>
        <v>305.69325665999997</v>
      </c>
      <c r="L32" s="431"/>
      <c r="M32" s="431"/>
      <c r="N32" s="558">
        <f>E32*H32/1000</f>
        <v>312.16231751999993</v>
      </c>
    </row>
    <row r="33" spans="1:15" ht="22.5" customHeight="1" thickBot="1">
      <c r="A33" s="306">
        <v>1</v>
      </c>
      <c r="B33" s="247" t="s">
        <v>1080</v>
      </c>
      <c r="C33" s="581">
        <f>E33/D33</f>
        <v>4242.727272727273</v>
      </c>
      <c r="D33" s="290">
        <v>0.22</v>
      </c>
      <c r="E33" s="1137">
        <v>933.4</v>
      </c>
      <c r="F33" s="568">
        <v>1861465.03</v>
      </c>
      <c r="G33" s="569">
        <v>2006.61</v>
      </c>
      <c r="H33" s="1148">
        <f>K33/E33*1000-95.8</f>
        <v>7175.7877437325915</v>
      </c>
      <c r="I33" s="520">
        <f>ROUND(($D$33*$F$33*12/1000),1)</f>
        <v>4914.3</v>
      </c>
      <c r="J33" s="520">
        <f>ROUND(($E$33*$G$33/1000),1)</f>
        <v>1873</v>
      </c>
      <c r="K33" s="521">
        <f>I33+J33</f>
        <v>6787.3</v>
      </c>
      <c r="L33" s="431"/>
      <c r="M33" s="431"/>
      <c r="N33" s="558">
        <f>E33*H33/1000</f>
        <v>6697.8802800000003</v>
      </c>
    </row>
    <row r="34" spans="1:15" ht="47.4" thickBot="1">
      <c r="A34" s="592" t="s">
        <v>325</v>
      </c>
      <c r="B34" s="593" t="s">
        <v>1078</v>
      </c>
      <c r="C34" s="1157"/>
      <c r="D34" s="594"/>
      <c r="E34" s="595"/>
      <c r="F34" s="596" t="s">
        <v>323</v>
      </c>
      <c r="G34" s="597" t="s">
        <v>35</v>
      </c>
      <c r="H34" s="598" t="s">
        <v>35</v>
      </c>
      <c r="I34" s="599">
        <f>SUM(I35:I37)</f>
        <v>3725.75140848</v>
      </c>
      <c r="J34" s="600">
        <f>SUM(J35:J37)</f>
        <v>1881.9713548599998</v>
      </c>
      <c r="K34" s="601">
        <f>SUM(K35:K37)</f>
        <v>5607.7227633399998</v>
      </c>
      <c r="L34" s="602">
        <f>SUM(L36:L37)</f>
        <v>0</v>
      </c>
      <c r="M34" s="603">
        <f>SUM(M36:M37)</f>
        <v>0</v>
      </c>
      <c r="N34" s="601">
        <f>SUM(N35:N37)</f>
        <v>5607.4146901100003</v>
      </c>
    </row>
    <row r="35" spans="1:15">
      <c r="A35" s="584">
        <v>1</v>
      </c>
      <c r="B35" s="330" t="s">
        <v>324</v>
      </c>
      <c r="C35" s="585">
        <f>E35/D35</f>
        <v>7923.6941872427988</v>
      </c>
      <c r="D35" s="1143">
        <v>3.8879999999999999</v>
      </c>
      <c r="E35" s="1143">
        <v>30807.323</v>
      </c>
      <c r="F35" s="586">
        <v>451.08</v>
      </c>
      <c r="G35" s="587">
        <v>0.82</v>
      </c>
      <c r="H35" s="1148">
        <f>K35/E35*1000-0.01</f>
        <v>1.4931359050573787</v>
      </c>
      <c r="I35" s="588">
        <f>$D$35*$F$35*12/1000</f>
        <v>21.045588479999999</v>
      </c>
      <c r="J35" s="589">
        <f>$E$35*$G$35/1000</f>
        <v>25.262004859999998</v>
      </c>
      <c r="K35" s="590">
        <f>I35+J35</f>
        <v>46.307593339999997</v>
      </c>
      <c r="L35" s="591"/>
      <c r="M35" s="589"/>
      <c r="N35" s="590">
        <f>E35*H35/1000</f>
        <v>45.999520109999999</v>
      </c>
    </row>
    <row r="36" spans="1:15">
      <c r="A36" s="331">
        <v>2</v>
      </c>
      <c r="B36" s="247" t="s">
        <v>350</v>
      </c>
      <c r="C36" s="581">
        <f>E36/D36</f>
        <v>8643.75</v>
      </c>
      <c r="D36" s="290">
        <f>1.56+0.04</f>
        <v>1.6</v>
      </c>
      <c r="E36" s="561">
        <f>13465+365</f>
        <v>13830</v>
      </c>
      <c r="F36" s="571">
        <v>169906.8</v>
      </c>
      <c r="G36" s="572">
        <v>114.55</v>
      </c>
      <c r="H36" s="573">
        <f>K36/E36*1000</f>
        <v>350.42928850325382</v>
      </c>
      <c r="I36" s="262">
        <f>$D36*$F36*12/1000</f>
        <v>3262.21056</v>
      </c>
      <c r="J36" s="181">
        <f>$E36*$G36/1000</f>
        <v>1584.2265</v>
      </c>
      <c r="K36" s="263">
        <f>I36+J36</f>
        <v>4846.4370600000002</v>
      </c>
      <c r="L36" s="371"/>
      <c r="M36" s="181"/>
      <c r="N36" s="263">
        <f>E36*H36/1000</f>
        <v>4846.4370600000002</v>
      </c>
    </row>
    <row r="37" spans="1:15" ht="16.2" thickBot="1">
      <c r="A37" s="307">
        <v>3</v>
      </c>
      <c r="B37" s="259" t="s">
        <v>1081</v>
      </c>
      <c r="C37" s="582">
        <f>E37/D37</f>
        <v>4553.3333333333339</v>
      </c>
      <c r="D37" s="296">
        <v>0.15</v>
      </c>
      <c r="E37" s="562">
        <v>683</v>
      </c>
      <c r="F37" s="574">
        <v>245830.7</v>
      </c>
      <c r="G37" s="575">
        <v>398.95</v>
      </c>
      <c r="H37" s="576">
        <f>K37/E37*1000</f>
        <v>1046.8200732064422</v>
      </c>
      <c r="I37" s="567">
        <f>$D$37*$F$37*12/1000</f>
        <v>442.49526000000003</v>
      </c>
      <c r="J37" s="566">
        <f>$E$37*$G$37/1000</f>
        <v>272.48284999999998</v>
      </c>
      <c r="K37" s="605">
        <f>I37+J37</f>
        <v>714.97811000000002</v>
      </c>
      <c r="L37" s="579"/>
      <c r="M37" s="580"/>
      <c r="N37" s="300">
        <f>E37*H37/1000</f>
        <v>714.97811000000002</v>
      </c>
    </row>
    <row r="38" spans="1:15" hidden="1">
      <c r="F38" s="78"/>
      <c r="G38" s="78"/>
      <c r="H38" s="78"/>
      <c r="L38" s="13"/>
      <c r="M38" s="13"/>
      <c r="N38" s="13"/>
    </row>
    <row r="39" spans="1:15">
      <c r="B39" s="44" t="s">
        <v>257</v>
      </c>
      <c r="C39" s="44"/>
      <c r="L39" s="13"/>
      <c r="M39" s="13"/>
      <c r="N39" s="13"/>
    </row>
    <row r="40" spans="1:15">
      <c r="D40" s="44" t="s">
        <v>1082</v>
      </c>
      <c r="E40" s="207">
        <v>1731</v>
      </c>
      <c r="F40" s="13" t="s">
        <v>326</v>
      </c>
      <c r="H40" s="563">
        <f>E36+E37+E29+E40</f>
        <v>16446</v>
      </c>
      <c r="L40" s="13"/>
      <c r="M40" s="13"/>
      <c r="N40" s="13"/>
    </row>
    <row r="41" spans="1:15">
      <c r="D41" s="44" t="s">
        <v>327</v>
      </c>
      <c r="E41" s="308" t="e">
        <f>#REF!*1000</f>
        <v>#REF!</v>
      </c>
      <c r="F41" s="13" t="s">
        <v>328</v>
      </c>
      <c r="L41" s="13"/>
      <c r="M41" s="13"/>
      <c r="N41" s="13"/>
    </row>
    <row r="42" spans="1:15" hidden="1"/>
    <row r="43" spans="1:15" hidden="1">
      <c r="E43" s="13" t="s">
        <v>328</v>
      </c>
      <c r="G43" s="377" t="s">
        <v>623</v>
      </c>
      <c r="H43" s="377"/>
      <c r="I43" s="377"/>
      <c r="J43" s="377"/>
      <c r="K43" s="377"/>
    </row>
    <row r="44" spans="1:15" hidden="1">
      <c r="E44" s="384"/>
      <c r="F44" s="383"/>
      <c r="G44" s="378" t="s">
        <v>322</v>
      </c>
      <c r="H44" s="378"/>
      <c r="I44" s="378"/>
      <c r="J44" s="382" t="s">
        <v>509</v>
      </c>
      <c r="K44" s="382"/>
      <c r="L44" s="13"/>
      <c r="M44" s="13"/>
      <c r="N44" s="13"/>
      <c r="O44" s="309"/>
    </row>
    <row r="45" spans="1:15" ht="27" hidden="1">
      <c r="E45" s="384"/>
      <c r="F45" s="383"/>
      <c r="G45" s="379" t="s">
        <v>323</v>
      </c>
      <c r="H45" s="379" t="s">
        <v>35</v>
      </c>
      <c r="I45" s="380" t="s">
        <v>508</v>
      </c>
      <c r="J45" s="377"/>
      <c r="K45" s="377"/>
      <c r="L45" s="13"/>
      <c r="M45" s="13"/>
      <c r="N45" s="13"/>
      <c r="O45" s="310"/>
    </row>
    <row r="46" spans="1:15" hidden="1">
      <c r="E46" s="384"/>
      <c r="F46" s="383"/>
      <c r="G46" s="125"/>
      <c r="H46" s="125"/>
      <c r="I46" s="125"/>
      <c r="J46" s="377"/>
      <c r="K46" s="377"/>
      <c r="L46" s="13"/>
      <c r="M46" s="13"/>
      <c r="N46" s="13"/>
      <c r="O46" s="309"/>
    </row>
    <row r="47" spans="1:15" hidden="1">
      <c r="E47" s="384"/>
      <c r="F47" s="383" t="s">
        <v>624</v>
      </c>
      <c r="G47" s="125"/>
      <c r="H47" s="125"/>
      <c r="I47" s="125"/>
      <c r="J47" s="377"/>
      <c r="K47" s="377"/>
    </row>
    <row r="48" spans="1:15" hidden="1">
      <c r="E48" s="384"/>
      <c r="F48" s="383" t="s">
        <v>324</v>
      </c>
      <c r="G48" s="381"/>
      <c r="H48" s="381"/>
      <c r="I48" s="381"/>
      <c r="J48" s="377"/>
      <c r="K48" s="381"/>
    </row>
    <row r="49" spans="2:14" hidden="1">
      <c r="E49" s="384"/>
      <c r="F49" s="383" t="s">
        <v>350</v>
      </c>
      <c r="G49" s="381"/>
      <c r="H49" s="381"/>
      <c r="I49" s="381"/>
      <c r="J49" s="377"/>
      <c r="K49" s="381"/>
    </row>
    <row r="50" spans="2:14" hidden="1">
      <c r="E50" s="384"/>
      <c r="F50" s="383" t="s">
        <v>621</v>
      </c>
      <c r="G50" s="381"/>
      <c r="H50" s="381"/>
      <c r="I50" s="381"/>
      <c r="J50" s="377"/>
      <c r="K50" s="381"/>
    </row>
    <row r="51" spans="2:14" hidden="1">
      <c r="E51" s="384"/>
      <c r="F51" s="383" t="s">
        <v>186</v>
      </c>
      <c r="G51" s="381"/>
      <c r="H51" s="381"/>
      <c r="I51" s="381"/>
      <c r="J51" s="377"/>
      <c r="K51" s="381"/>
    </row>
    <row r="52" spans="2:14" hidden="1"/>
    <row r="53" spans="2:14" hidden="1"/>
    <row r="54" spans="2:14" hidden="1">
      <c r="K54" s="78"/>
      <c r="L54" s="13"/>
      <c r="M54" s="13"/>
      <c r="N54" s="13"/>
    </row>
    <row r="55" spans="2:14" hidden="1"/>
    <row r="56" spans="2:14" hidden="1"/>
    <row r="57" spans="2:14" ht="12.75" customHeight="1">
      <c r="B57" s="4" t="s">
        <v>510</v>
      </c>
      <c r="C57" s="4"/>
      <c r="D57" s="4"/>
      <c r="E57" s="4"/>
      <c r="F57" s="4"/>
      <c r="G57" s="100"/>
      <c r="H57" s="101"/>
    </row>
    <row r="58" spans="2:14">
      <c r="B58" s="1987" t="s">
        <v>242</v>
      </c>
      <c r="C58" s="6"/>
      <c r="D58" s="6"/>
      <c r="E58" s="2000" t="s">
        <v>243</v>
      </c>
      <c r="F58" s="17" t="s">
        <v>244</v>
      </c>
      <c r="G58" s="1987" t="s">
        <v>245</v>
      </c>
      <c r="H58" s="4"/>
    </row>
    <row r="59" spans="2:14" ht="66.599999999999994">
      <c r="B59" s="1999"/>
      <c r="C59" s="11"/>
      <c r="D59" s="11"/>
      <c r="E59" s="2001"/>
      <c r="F59" s="17" t="s">
        <v>246</v>
      </c>
      <c r="G59" s="1988"/>
      <c r="H59" s="4"/>
    </row>
    <row r="60" spans="2:14" ht="16.8">
      <c r="B60" s="1999"/>
      <c r="C60" s="11"/>
      <c r="D60" s="11"/>
      <c r="E60" s="81" t="s">
        <v>247</v>
      </c>
      <c r="F60" s="81" t="s">
        <v>248</v>
      </c>
      <c r="G60" s="9"/>
      <c r="H60" s="101" t="s">
        <v>241</v>
      </c>
    </row>
    <row r="61" spans="2:14" ht="15.75" customHeight="1">
      <c r="B61" s="1988"/>
      <c r="C61" s="7"/>
      <c r="D61" s="7"/>
      <c r="E61" s="9" t="s">
        <v>44</v>
      </c>
      <c r="F61" s="9" t="s">
        <v>249</v>
      </c>
      <c r="G61" s="9" t="s">
        <v>249</v>
      </c>
      <c r="H61" s="100"/>
    </row>
    <row r="62" spans="2:14">
      <c r="B62" s="9" t="s">
        <v>226</v>
      </c>
      <c r="C62" s="538"/>
      <c r="D62" s="538"/>
      <c r="E62" s="539">
        <v>364484.63</v>
      </c>
      <c r="F62" s="539">
        <v>151.36000000000001</v>
      </c>
      <c r="G62" s="539">
        <v>671</v>
      </c>
      <c r="H62" s="540">
        <f>(E62*12/(G62-F62))</f>
        <v>8417.0109306442937</v>
      </c>
    </row>
    <row r="63" spans="2:14">
      <c r="B63" s="9" t="s">
        <v>211</v>
      </c>
      <c r="C63" s="9"/>
      <c r="D63" s="9"/>
      <c r="E63" s="191">
        <v>684381.17</v>
      </c>
      <c r="F63" s="191">
        <v>162.12</v>
      </c>
      <c r="G63" s="191">
        <v>1153.6500000000001</v>
      </c>
      <c r="H63" s="100">
        <f>(E63*12/(G63-F63))</f>
        <v>8282.7287525339634</v>
      </c>
    </row>
    <row r="64" spans="2:14">
      <c r="B64" s="17" t="s">
        <v>253</v>
      </c>
      <c r="C64" s="17"/>
      <c r="D64" s="17"/>
      <c r="E64" s="191">
        <v>942948.34</v>
      </c>
      <c r="F64" s="191">
        <v>414.16</v>
      </c>
      <c r="G64" s="191">
        <v>1847.1</v>
      </c>
      <c r="H64" s="100">
        <f>(E64*12/(G64-F64))</f>
        <v>7896.6181975518875</v>
      </c>
    </row>
    <row r="65" spans="2:8">
      <c r="B65" s="9" t="s">
        <v>215</v>
      </c>
      <c r="C65" s="538"/>
      <c r="D65" s="538"/>
      <c r="E65" s="539">
        <v>1640145.12</v>
      </c>
      <c r="F65" s="539">
        <v>472.06</v>
      </c>
      <c r="G65" s="539">
        <v>2747.68</v>
      </c>
      <c r="H65" s="540">
        <f>(E65*12/(G65-F65))</f>
        <v>8648.9578400611717</v>
      </c>
    </row>
    <row r="66" spans="2:8">
      <c r="B66" s="341" t="s">
        <v>352</v>
      </c>
      <c r="C66" s="341"/>
      <c r="D66" s="341"/>
      <c r="E66" s="342">
        <v>133702.84</v>
      </c>
      <c r="F66" s="342">
        <v>150</v>
      </c>
      <c r="G66" s="342">
        <v>437.28</v>
      </c>
      <c r="H66" s="196">
        <f>(E66*12/(G66-F66))</f>
        <v>5584.9139515455308</v>
      </c>
    </row>
    <row r="67" spans="2:8">
      <c r="B67" s="47"/>
      <c r="C67" s="47"/>
      <c r="D67" s="47"/>
      <c r="E67" s="47"/>
      <c r="F67" s="47"/>
      <c r="G67" s="47"/>
      <c r="H67" s="47"/>
    </row>
  </sheetData>
  <mergeCells count="14">
    <mergeCell ref="G58:G59"/>
    <mergeCell ref="A22:A23"/>
    <mergeCell ref="B22:E23"/>
    <mergeCell ref="A30:A31"/>
    <mergeCell ref="B30:B31"/>
    <mergeCell ref="B58:B61"/>
    <mergeCell ref="E58:E59"/>
    <mergeCell ref="B6:B9"/>
    <mergeCell ref="D6:D7"/>
    <mergeCell ref="E6:E7"/>
    <mergeCell ref="F6:F7"/>
    <mergeCell ref="A15:A17"/>
    <mergeCell ref="B15:B17"/>
    <mergeCell ref="D15:E16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68"/>
  <sheetViews>
    <sheetView zoomScaleNormal="100" workbookViewId="0">
      <pane xSplit="2" ySplit="10" topLeftCell="C13" activePane="bottomRight" state="frozenSplit"/>
      <selection activeCell="K8" sqref="K8"/>
      <selection pane="topRight" activeCell="K8" sqref="K8"/>
      <selection pane="bottomLeft" activeCell="K8" sqref="K8"/>
      <selection pane="bottomRight" activeCell="K8" sqref="K8"/>
    </sheetView>
  </sheetViews>
  <sheetFormatPr defaultColWidth="9.109375" defaultRowHeight="13.2"/>
  <cols>
    <col min="1" max="1" width="4.44140625" style="16" customWidth="1"/>
    <col min="2" max="2" width="38.88671875" style="16" customWidth="1"/>
    <col min="3" max="3" width="10.88671875" style="16" customWidth="1"/>
    <col min="4" max="4" width="8.5546875" style="16" customWidth="1"/>
    <col min="5" max="5" width="10.109375" style="16" customWidth="1"/>
    <col min="6" max="6" width="8.88671875" style="16" customWidth="1"/>
    <col min="7" max="7" width="9.109375" style="16"/>
    <col min="8" max="8" width="10" style="16" customWidth="1"/>
    <col min="9" max="9" width="10.109375" style="16" customWidth="1"/>
    <col min="10" max="10" width="9.33203125" style="16" customWidth="1"/>
    <col min="11" max="11" width="9" style="16" customWidth="1"/>
    <col min="12" max="12" width="10.109375" style="16" customWidth="1"/>
    <col min="13" max="13" width="10" style="16" customWidth="1"/>
    <col min="14" max="14" width="9.88671875" style="16" bestFit="1" customWidth="1"/>
    <col min="15" max="15" width="9.109375" style="16"/>
    <col min="16" max="16" width="12" style="16" customWidth="1"/>
    <col min="17" max="16384" width="9.109375" style="16"/>
  </cols>
  <sheetData>
    <row r="1" spans="1:17">
      <c r="L1" s="1060" t="s">
        <v>1001</v>
      </c>
      <c r="M1" s="1061" t="s">
        <v>1002</v>
      </c>
      <c r="N1" s="1062"/>
      <c r="O1" s="1062"/>
      <c r="P1" s="1062"/>
      <c r="Q1" s="1062"/>
    </row>
    <row r="2" spans="1:17">
      <c r="L2" s="1060" t="s">
        <v>1003</v>
      </c>
      <c r="M2" s="1063">
        <v>7.0001066190093802E-2</v>
      </c>
      <c r="N2" s="1064"/>
    </row>
    <row r="3" spans="1:17">
      <c r="L3" s="1060" t="s">
        <v>1004</v>
      </c>
      <c r="M3" s="1063">
        <f>L17/L11</f>
        <v>6.9999929343517828E-2</v>
      </c>
      <c r="N3" s="1065">
        <v>2012</v>
      </c>
    </row>
    <row r="4" spans="1:17">
      <c r="L4" s="1060"/>
      <c r="M4" s="1063">
        <f>G17/G11</f>
        <v>7.0000000000000062E-2</v>
      </c>
      <c r="N4" s="16">
        <v>2011</v>
      </c>
    </row>
    <row r="5" spans="1:17" ht="15.6">
      <c r="A5" s="1066" t="s">
        <v>1005</v>
      </c>
      <c r="B5" s="1067"/>
      <c r="C5" s="1068"/>
      <c r="D5" s="1068"/>
      <c r="E5" s="1068"/>
      <c r="F5" s="1068"/>
      <c r="G5" s="1068"/>
      <c r="H5" s="1068"/>
      <c r="I5" s="1068"/>
      <c r="J5" s="1068"/>
      <c r="K5" s="1068"/>
      <c r="L5" s="1069"/>
    </row>
    <row r="6" spans="1:17" ht="17.399999999999999">
      <c r="A6" s="1070"/>
      <c r="B6" s="1071"/>
      <c r="C6" s="1072"/>
      <c r="D6" s="1072"/>
      <c r="E6" s="1073"/>
      <c r="F6" s="1074"/>
      <c r="G6" s="1072"/>
      <c r="H6" s="1073"/>
      <c r="I6" s="1073"/>
      <c r="J6" s="1074"/>
      <c r="K6" s="1073"/>
      <c r="L6" s="1073"/>
    </row>
    <row r="7" spans="1:17" ht="12.75" customHeight="1">
      <c r="A7" s="2026" t="s">
        <v>171</v>
      </c>
      <c r="B7" s="2026" t="s">
        <v>19</v>
      </c>
      <c r="C7" s="1075" t="s">
        <v>1006</v>
      </c>
      <c r="D7" s="1075"/>
      <c r="E7" s="1075"/>
      <c r="F7" s="1075"/>
      <c r="G7" s="1075"/>
      <c r="H7" s="1076" t="s">
        <v>1007</v>
      </c>
      <c r="I7" s="1076"/>
      <c r="J7" s="1076"/>
      <c r="K7" s="1076"/>
      <c r="L7" s="1076"/>
      <c r="M7" s="1077"/>
    </row>
    <row r="8" spans="1:17">
      <c r="A8" s="2026"/>
      <c r="B8" s="2026"/>
      <c r="C8" s="1078" t="s">
        <v>1008</v>
      </c>
      <c r="D8" s="1078"/>
      <c r="E8" s="1078"/>
      <c r="F8" s="1078"/>
      <c r="G8" s="1078"/>
      <c r="H8" s="1079" t="s">
        <v>1008</v>
      </c>
      <c r="I8" s="1079"/>
      <c r="J8" s="1079"/>
      <c r="K8" s="1079"/>
      <c r="L8" s="1079"/>
      <c r="M8" s="1077"/>
    </row>
    <row r="9" spans="1:17" ht="39.6">
      <c r="A9" s="2026"/>
      <c r="B9" s="2026"/>
      <c r="C9" s="1080" t="s">
        <v>1009</v>
      </c>
      <c r="D9" s="1080" t="s">
        <v>1010</v>
      </c>
      <c r="E9" s="1080" t="s">
        <v>1011</v>
      </c>
      <c r="F9" s="1080" t="s">
        <v>1012</v>
      </c>
      <c r="G9" s="1080" t="s">
        <v>1013</v>
      </c>
      <c r="H9" s="1080" t="s">
        <v>1009</v>
      </c>
      <c r="I9" s="1080" t="s">
        <v>1014</v>
      </c>
      <c r="J9" s="1080" t="s">
        <v>1011</v>
      </c>
      <c r="K9" s="1080" t="s">
        <v>1012</v>
      </c>
      <c r="L9" s="1080" t="s">
        <v>1013</v>
      </c>
      <c r="M9" s="1077"/>
    </row>
    <row r="10" spans="1:17" ht="26.4">
      <c r="A10" s="2026"/>
      <c r="B10" s="2026"/>
      <c r="C10" s="1080" t="s">
        <v>1015</v>
      </c>
      <c r="D10" s="1080" t="s">
        <v>1015</v>
      </c>
      <c r="E10" s="1080" t="s">
        <v>1015</v>
      </c>
      <c r="F10" s="1080" t="s">
        <v>1015</v>
      </c>
      <c r="G10" s="1080" t="s">
        <v>1015</v>
      </c>
      <c r="H10" s="1081" t="s">
        <v>1015</v>
      </c>
      <c r="I10" s="1080" t="s">
        <v>1015</v>
      </c>
      <c r="J10" s="1080" t="s">
        <v>1015</v>
      </c>
      <c r="K10" s="1080" t="s">
        <v>1015</v>
      </c>
      <c r="L10" s="1080" t="s">
        <v>1015</v>
      </c>
      <c r="M10" s="1077"/>
    </row>
    <row r="11" spans="1:17">
      <c r="A11" s="1082">
        <v>1</v>
      </c>
      <c r="B11" s="1083" t="s">
        <v>1016</v>
      </c>
      <c r="C11" s="1084">
        <f>C12+C13+C14+C15</f>
        <v>30807.322580645163</v>
      </c>
      <c r="D11" s="46">
        <f>D12+D13+D14+D15</f>
        <v>0</v>
      </c>
      <c r="E11" s="46">
        <f>E12+E13+E14+E15</f>
        <v>0</v>
      </c>
      <c r="F11" s="46">
        <f>F12+F13+F14+F15</f>
        <v>0</v>
      </c>
      <c r="G11" s="1084">
        <f>F11+E11+D11+C11</f>
        <v>30807.322580645163</v>
      </c>
      <c r="H11" s="1084">
        <f>H12+H13+H14+H15</f>
        <v>33929.534000000007</v>
      </c>
      <c r="I11" s="48">
        <f>I12+I13+I14+I15</f>
        <v>462.21499999999997</v>
      </c>
      <c r="J11" s="46">
        <f>J12+J13+J14+J15</f>
        <v>0</v>
      </c>
      <c r="K11" s="46">
        <f>K12+K13+K14+K15</f>
        <v>0</v>
      </c>
      <c r="L11" s="1084">
        <f>K11+J11+I11+H11</f>
        <v>34391.749000000003</v>
      </c>
      <c r="M11" s="1077"/>
    </row>
    <row r="12" spans="1:17">
      <c r="A12" s="12" t="s">
        <v>227</v>
      </c>
      <c r="B12" s="1083" t="s">
        <v>1017</v>
      </c>
      <c r="C12" s="1084"/>
      <c r="D12" s="1084"/>
      <c r="E12" s="1085"/>
      <c r="F12" s="1085"/>
      <c r="G12" s="1084"/>
      <c r="H12" s="1084"/>
      <c r="I12" s="1084"/>
      <c r="J12" s="1086"/>
      <c r="K12" s="1086"/>
      <c r="L12" s="1087"/>
      <c r="M12" s="1077"/>
    </row>
    <row r="13" spans="1:17">
      <c r="A13" s="12" t="s">
        <v>228</v>
      </c>
      <c r="B13" s="1083" t="s">
        <v>1018</v>
      </c>
      <c r="C13" s="1084"/>
      <c r="D13" s="1084"/>
      <c r="E13" s="1085"/>
      <c r="F13" s="1085"/>
      <c r="G13" s="1084"/>
      <c r="H13" s="1084"/>
      <c r="I13" s="1084"/>
      <c r="J13" s="1086"/>
      <c r="K13" s="1086"/>
      <c r="L13" s="1087"/>
      <c r="M13" s="1077"/>
    </row>
    <row r="14" spans="1:17">
      <c r="A14" s="12" t="s">
        <v>31</v>
      </c>
      <c r="B14" s="1088" t="s">
        <v>1019</v>
      </c>
      <c r="C14" s="1089">
        <v>30807.322580645163</v>
      </c>
      <c r="D14" s="1084"/>
      <c r="E14" s="1085"/>
      <c r="F14" s="1085"/>
      <c r="G14" s="1084">
        <f>F14+E14+D14+C14</f>
        <v>30807.322580645163</v>
      </c>
      <c r="H14" s="1089">
        <v>33929.534000000007</v>
      </c>
      <c r="I14" s="1084"/>
      <c r="J14" s="24"/>
      <c r="K14" s="1086"/>
      <c r="L14" s="1084">
        <f>K14+J14+I14+H14</f>
        <v>33929.534000000007</v>
      </c>
      <c r="M14" s="1090">
        <f>G17/G14*100</f>
        <v>7.0000000000000062</v>
      </c>
      <c r="N14" s="701" t="s">
        <v>1020</v>
      </c>
    </row>
    <row r="15" spans="1:17">
      <c r="A15" s="12" t="s">
        <v>156</v>
      </c>
      <c r="B15" s="70" t="s">
        <v>993</v>
      </c>
      <c r="C15" s="1084"/>
      <c r="D15" s="1084"/>
      <c r="E15" s="1085"/>
      <c r="F15" s="1091"/>
      <c r="G15" s="46">
        <f>F15+E15+D15+C15</f>
        <v>0</v>
      </c>
      <c r="H15" s="1084"/>
      <c r="I15" s="1084">
        <v>462.21499999999997</v>
      </c>
      <c r="J15" s="1092"/>
      <c r="K15" s="1093"/>
      <c r="L15" s="48">
        <f>K15+J15+I15+H15</f>
        <v>462.21499999999997</v>
      </c>
      <c r="M15" s="1090">
        <f>L17/L11*100</f>
        <v>6.9999929343517824</v>
      </c>
      <c r="N15" s="701" t="s">
        <v>1021</v>
      </c>
    </row>
    <row r="16" spans="1:17" ht="26.4">
      <c r="A16" s="1082">
        <v>2</v>
      </c>
      <c r="B16" s="1083" t="s">
        <v>1022</v>
      </c>
      <c r="C16" s="46"/>
      <c r="D16" s="1084"/>
      <c r="E16" s="1091"/>
      <c r="F16" s="1085"/>
      <c r="G16" s="1084"/>
      <c r="H16" s="1084"/>
      <c r="I16" s="1084"/>
      <c r="J16" s="1092"/>
      <c r="K16" s="1092"/>
      <c r="L16" s="1092"/>
      <c r="M16" s="1077"/>
      <c r="N16" s="1094" t="s">
        <v>195</v>
      </c>
    </row>
    <row r="17" spans="1:22">
      <c r="A17" s="1082">
        <v>3</v>
      </c>
      <c r="B17" s="1095" t="s">
        <v>1023</v>
      </c>
      <c r="C17" s="1089">
        <v>1118.3058096774193</v>
      </c>
      <c r="D17" s="1096">
        <v>0</v>
      </c>
      <c r="E17" s="1089">
        <v>992.12644838709866</v>
      </c>
      <c r="F17" s="1089">
        <v>46.080322580645202</v>
      </c>
      <c r="G17" s="1097">
        <f t="shared" ref="G17:G23" si="0">C17+D17+E17+F17</f>
        <v>2156.5125806451633</v>
      </c>
      <c r="H17" s="1089">
        <v>1252</v>
      </c>
      <c r="I17" s="1096">
        <v>0</v>
      </c>
      <c r="J17" s="1089">
        <v>1097.1560000000002</v>
      </c>
      <c r="K17" s="1089">
        <v>58.264000000000003</v>
      </c>
      <c r="L17" s="1097">
        <f t="shared" ref="L17:L23" si="1">K17+J17+I17+H17</f>
        <v>2407.42</v>
      </c>
      <c r="M17" s="1098" t="s">
        <v>510</v>
      </c>
      <c r="N17" s="1099">
        <f>D18+D19+D20</f>
        <v>0</v>
      </c>
      <c r="O17" s="1099">
        <f>E18+E19+E20</f>
        <v>992.12644838709866</v>
      </c>
      <c r="P17" s="1099">
        <f>F18+F19+F20</f>
        <v>46.080322580645202</v>
      </c>
      <c r="Q17" s="1099">
        <f>G18+G19+G20</f>
        <v>2156.5125806451633</v>
      </c>
    </row>
    <row r="18" spans="1:22" ht="26.4">
      <c r="A18" s="715" t="s">
        <v>235</v>
      </c>
      <c r="B18" s="1095" t="s">
        <v>1024</v>
      </c>
      <c r="C18" s="1096">
        <v>0</v>
      </c>
      <c r="D18" s="1096">
        <v>0</v>
      </c>
      <c r="E18" s="1096">
        <v>0</v>
      </c>
      <c r="F18" s="1096">
        <v>0</v>
      </c>
      <c r="G18" s="1096">
        <f>SUM(C18:F18)</f>
        <v>0</v>
      </c>
      <c r="H18" s="1096">
        <v>0</v>
      </c>
      <c r="I18" s="1096">
        <v>0</v>
      </c>
      <c r="J18" s="1096">
        <v>0</v>
      </c>
      <c r="K18" s="1096">
        <v>0</v>
      </c>
      <c r="L18" s="1096">
        <f>L17-L19-L20</f>
        <v>0</v>
      </c>
      <c r="M18" s="1098" t="s">
        <v>631</v>
      </c>
      <c r="N18" s="1099">
        <f>I18+I19</f>
        <v>0</v>
      </c>
      <c r="O18" s="1099">
        <f>J18+J19+J20</f>
        <v>1097.1560000000002</v>
      </c>
      <c r="P18" s="1099">
        <f>K18+K19+K20</f>
        <v>58.264000000000003</v>
      </c>
      <c r="Q18" s="1099">
        <f>L18+L19+L20</f>
        <v>2407.42</v>
      </c>
    </row>
    <row r="19" spans="1:22">
      <c r="A19" s="715" t="s">
        <v>42</v>
      </c>
      <c r="B19" s="1100" t="s">
        <v>1025</v>
      </c>
      <c r="C19" s="1096">
        <f>C17</f>
        <v>1118.3058096774193</v>
      </c>
      <c r="D19" s="1096">
        <f>D17</f>
        <v>0</v>
      </c>
      <c r="E19" s="1096">
        <f>E17</f>
        <v>992.12644838709866</v>
      </c>
      <c r="F19" s="1096">
        <f>F17</f>
        <v>46.080322580645202</v>
      </c>
      <c r="G19" s="1101">
        <f>SUM(C19:F19)</f>
        <v>2156.5125806451633</v>
      </c>
      <c r="H19" s="1096">
        <f>H17-H20</f>
        <v>1252</v>
      </c>
      <c r="I19" s="1096">
        <f>I17-I20</f>
        <v>0</v>
      </c>
      <c r="J19" s="1096">
        <f>J17-J20</f>
        <v>1097.1560000000002</v>
      </c>
      <c r="K19" s="1096">
        <f>K17-K20</f>
        <v>58.264000000000003</v>
      </c>
      <c r="L19" s="1101">
        <f>SUM(H19:K19)</f>
        <v>2407.42</v>
      </c>
      <c r="M19" s="1102">
        <f>G18+G19+G20</f>
        <v>2156.5125806451633</v>
      </c>
      <c r="N19" s="1103">
        <f>L18+L19+L20</f>
        <v>2407.42</v>
      </c>
      <c r="O19" s="701"/>
      <c r="P19" s="701"/>
      <c r="T19" s="701"/>
      <c r="U19" s="701"/>
      <c r="V19" s="701"/>
    </row>
    <row r="20" spans="1:22" ht="26.4">
      <c r="A20" s="715" t="s">
        <v>43</v>
      </c>
      <c r="B20" s="1095" t="s">
        <v>1026</v>
      </c>
      <c r="C20" s="1104">
        <v>0</v>
      </c>
      <c r="D20" s="1104">
        <v>0</v>
      </c>
      <c r="E20" s="1104">
        <v>0</v>
      </c>
      <c r="F20" s="1104">
        <v>0</v>
      </c>
      <c r="G20" s="1105">
        <f>SUM(C20:F20)</f>
        <v>0</v>
      </c>
      <c r="H20" s="1096">
        <v>0</v>
      </c>
      <c r="I20" s="1096">
        <v>0</v>
      </c>
      <c r="J20" s="1096">
        <v>0</v>
      </c>
      <c r="K20" s="1096">
        <v>0</v>
      </c>
      <c r="L20" s="1105">
        <f>SUM(H20:K20)</f>
        <v>0</v>
      </c>
      <c r="M20" s="1106">
        <v>2011</v>
      </c>
      <c r="N20" s="1106">
        <v>2012</v>
      </c>
      <c r="O20" s="701"/>
      <c r="P20" s="701"/>
      <c r="T20" s="701"/>
      <c r="U20" s="701"/>
      <c r="V20" s="701"/>
    </row>
    <row r="21" spans="1:22">
      <c r="A21" s="1082">
        <v>4</v>
      </c>
      <c r="B21" s="1088" t="s">
        <v>1027</v>
      </c>
      <c r="C21" s="386">
        <f>(933.4+683+13465)</f>
        <v>15081.4</v>
      </c>
      <c r="D21" s="46">
        <v>0</v>
      </c>
      <c r="E21" s="386">
        <f>(365)</f>
        <v>365</v>
      </c>
      <c r="F21" s="386">
        <f>(133.01)</f>
        <v>133.01</v>
      </c>
      <c r="G21" s="1107">
        <f t="shared" si="0"/>
        <v>15579.41</v>
      </c>
      <c r="H21" s="1089">
        <v>21250.311000000002</v>
      </c>
      <c r="I21" s="46">
        <v>0</v>
      </c>
      <c r="J21" s="1089">
        <v>360</v>
      </c>
      <c r="K21" s="1089">
        <v>531.55799999999999</v>
      </c>
      <c r="L21" s="1107">
        <f t="shared" si="1"/>
        <v>22141.869000000002</v>
      </c>
      <c r="M21" s="1108">
        <v>15579.410000000002</v>
      </c>
      <c r="N21" s="1109">
        <v>23680.321</v>
      </c>
      <c r="O21" s="701"/>
      <c r="P21" s="701"/>
      <c r="T21" s="701"/>
      <c r="U21" s="701"/>
      <c r="V21" s="701"/>
    </row>
    <row r="22" spans="1:22">
      <c r="A22" s="1082">
        <v>5</v>
      </c>
      <c r="B22" s="1088" t="s">
        <v>759</v>
      </c>
      <c r="C22" s="46">
        <v>0</v>
      </c>
      <c r="D22" s="46">
        <v>0</v>
      </c>
      <c r="E22" s="46">
        <v>0</v>
      </c>
      <c r="F22" s="46">
        <v>0</v>
      </c>
      <c r="G22" s="46">
        <f t="shared" si="0"/>
        <v>0</v>
      </c>
      <c r="H22" s="46">
        <v>0</v>
      </c>
      <c r="I22" s="46">
        <v>0</v>
      </c>
      <c r="J22" s="46">
        <v>0</v>
      </c>
      <c r="K22" s="46">
        <v>0</v>
      </c>
      <c r="L22" s="46">
        <f t="shared" si="1"/>
        <v>0</v>
      </c>
      <c r="M22" s="1108"/>
      <c r="N22" s="1109"/>
      <c r="O22" s="701"/>
      <c r="P22" s="701"/>
      <c r="T22" s="701"/>
      <c r="U22" s="701"/>
      <c r="V22" s="701"/>
    </row>
    <row r="23" spans="1:22" ht="26.4">
      <c r="A23" s="1110">
        <v>6</v>
      </c>
      <c r="B23" s="1111" t="s">
        <v>1028</v>
      </c>
      <c r="C23" s="1112">
        <f>C24+C25+C26+C35+C46</f>
        <v>5927.9</v>
      </c>
      <c r="D23" s="1113">
        <f>D24+D25+D26+D35+D46</f>
        <v>0</v>
      </c>
      <c r="E23" s="1112">
        <f>E24+E25+E26+E35+E46</f>
        <v>6664.3</v>
      </c>
      <c r="F23" s="1112">
        <f>F24+F25+F26+F35+F46</f>
        <v>479.20000000000005</v>
      </c>
      <c r="G23" s="1112">
        <f t="shared" si="0"/>
        <v>13071.400000000001</v>
      </c>
      <c r="H23" s="1112">
        <f>H24+H25+H26+H35+H46</f>
        <v>4940.6400000000003</v>
      </c>
      <c r="I23" s="1113"/>
      <c r="J23" s="1112">
        <f>J24+J25+J26+J35+J46</f>
        <v>4659.2999999999993</v>
      </c>
      <c r="K23" s="1112">
        <f>K24+K25+K26+K35+K46</f>
        <v>242.52</v>
      </c>
      <c r="L23" s="1112">
        <f t="shared" si="1"/>
        <v>9842.4599999999991</v>
      </c>
      <c r="M23" s="1114">
        <v>28650.81</v>
      </c>
      <c r="N23" s="1114">
        <v>31984.329000000002</v>
      </c>
      <c r="O23" s="1115" t="s">
        <v>20</v>
      </c>
      <c r="P23" s="1116"/>
      <c r="T23" s="701"/>
      <c r="U23" s="701"/>
      <c r="V23" s="701"/>
    </row>
    <row r="24" spans="1:22">
      <c r="A24" s="12" t="s">
        <v>36</v>
      </c>
      <c r="B24" s="1117" t="s">
        <v>1029</v>
      </c>
      <c r="C24" s="1118"/>
      <c r="D24" s="1118"/>
      <c r="E24" s="1119">
        <v>0</v>
      </c>
      <c r="F24" s="1119">
        <v>0</v>
      </c>
      <c r="G24" s="1120"/>
      <c r="H24" s="1120"/>
      <c r="I24" s="1120"/>
      <c r="J24" s="1119">
        <v>0</v>
      </c>
      <c r="K24" s="1119">
        <v>0</v>
      </c>
      <c r="L24" s="1092"/>
      <c r="M24" s="1114">
        <f>G21+G23</f>
        <v>28650.81</v>
      </c>
      <c r="N24" s="1114">
        <f>L21+L23</f>
        <v>31984.329000000002</v>
      </c>
      <c r="O24" s="1115"/>
      <c r="P24" s="1103"/>
      <c r="T24" s="701"/>
      <c r="U24" s="701"/>
      <c r="V24" s="701"/>
    </row>
    <row r="25" spans="1:22" ht="26.4">
      <c r="A25" s="12" t="s">
        <v>37</v>
      </c>
      <c r="B25" s="1083" t="s">
        <v>1030</v>
      </c>
      <c r="C25" s="1085"/>
      <c r="D25" s="1085"/>
      <c r="E25" s="1085"/>
      <c r="F25" s="1085"/>
      <c r="G25" s="1085"/>
      <c r="H25" s="1092"/>
      <c r="I25" s="1092"/>
      <c r="J25" s="1092"/>
      <c r="K25" s="1092"/>
      <c r="L25" s="1092"/>
      <c r="M25" s="1108"/>
      <c r="N25" s="1109"/>
      <c r="O25" s="701"/>
      <c r="P25" s="701"/>
      <c r="T25" s="701"/>
      <c r="U25" s="701"/>
      <c r="V25" s="701"/>
    </row>
    <row r="26" spans="1:22" ht="26.4">
      <c r="A26" s="1121" t="s">
        <v>38</v>
      </c>
      <c r="B26" s="1111" t="s">
        <v>1031</v>
      </c>
      <c r="C26" s="1119">
        <v>0</v>
      </c>
      <c r="D26" s="1119">
        <v>0</v>
      </c>
      <c r="E26" s="1122">
        <f>J26</f>
        <v>21.36</v>
      </c>
      <c r="F26" s="1122">
        <f>K26</f>
        <v>188.37</v>
      </c>
      <c r="G26" s="1122">
        <f>SUM(C26:F26)</f>
        <v>209.73000000000002</v>
      </c>
      <c r="H26" s="1119">
        <v>0</v>
      </c>
      <c r="I26" s="1119">
        <v>0</v>
      </c>
      <c r="J26" s="1122">
        <v>21.36</v>
      </c>
      <c r="K26" s="1122">
        <v>188.37</v>
      </c>
      <c r="L26" s="1122">
        <f>SUM(H26:K26)</f>
        <v>209.73000000000002</v>
      </c>
      <c r="M26" s="1108">
        <v>209.73000000000002</v>
      </c>
      <c r="N26" s="1109"/>
      <c r="O26" s="701"/>
      <c r="P26" s="701"/>
      <c r="T26" s="701"/>
      <c r="U26" s="701"/>
      <c r="V26" s="701"/>
    </row>
    <row r="27" spans="1:22">
      <c r="A27" s="12" t="s">
        <v>1032</v>
      </c>
      <c r="B27" s="1083" t="s">
        <v>1033</v>
      </c>
      <c r="C27" s="1085"/>
      <c r="D27" s="1085"/>
      <c r="E27" s="1085"/>
      <c r="F27" s="1085"/>
      <c r="G27" s="1085"/>
      <c r="H27" s="1085"/>
      <c r="I27" s="1085"/>
      <c r="J27" s="1085"/>
      <c r="K27" s="1085"/>
      <c r="L27" s="1085"/>
      <c r="M27" s="1106"/>
      <c r="N27" s="1106"/>
      <c r="O27" s="1123"/>
      <c r="P27" s="1123"/>
      <c r="T27" s="701"/>
      <c r="U27" s="701"/>
      <c r="V27" s="701"/>
    </row>
    <row r="28" spans="1:22">
      <c r="A28" s="12" t="s">
        <v>1034</v>
      </c>
      <c r="B28" s="1083" t="s">
        <v>1035</v>
      </c>
      <c r="C28" s="1085"/>
      <c r="D28" s="1085"/>
      <c r="E28" s="1085"/>
      <c r="F28" s="1085"/>
      <c r="G28" s="1085"/>
      <c r="H28" s="1085"/>
      <c r="I28" s="1085"/>
      <c r="J28" s="1085"/>
      <c r="K28" s="1085"/>
      <c r="L28" s="1085"/>
      <c r="M28" s="1124"/>
      <c r="N28" s="1123"/>
      <c r="O28" s="1123"/>
      <c r="P28" s="1123"/>
      <c r="T28" s="701"/>
      <c r="U28" s="701"/>
      <c r="V28" s="701"/>
    </row>
    <row r="29" spans="1:22">
      <c r="A29" s="12" t="s">
        <v>1036</v>
      </c>
      <c r="B29" s="1083" t="s">
        <v>1037</v>
      </c>
      <c r="C29" s="1085"/>
      <c r="D29" s="1085"/>
      <c r="E29" s="1085"/>
      <c r="F29" s="1085"/>
      <c r="G29" s="1085"/>
      <c r="H29" s="1085"/>
      <c r="I29" s="1085"/>
      <c r="J29" s="1085"/>
      <c r="K29" s="1085"/>
      <c r="L29" s="1085"/>
      <c r="M29" s="1125"/>
      <c r="N29" s="1126"/>
      <c r="O29" s="1126"/>
      <c r="P29" s="701"/>
      <c r="T29" s="701"/>
      <c r="U29" s="701"/>
      <c r="V29" s="701"/>
    </row>
    <row r="30" spans="1:22">
      <c r="A30" s="12" t="s">
        <v>1038</v>
      </c>
      <c r="B30" s="1083" t="s">
        <v>1039</v>
      </c>
      <c r="C30" s="1085"/>
      <c r="D30" s="1085"/>
      <c r="E30" s="1085"/>
      <c r="F30" s="1085"/>
      <c r="G30" s="1085"/>
      <c r="H30" s="1085"/>
      <c r="I30" s="1085"/>
      <c r="J30" s="1085"/>
      <c r="K30" s="1085"/>
      <c r="L30" s="1085"/>
      <c r="M30" s="1125"/>
      <c r="N30" s="1126"/>
      <c r="O30" s="1126"/>
      <c r="P30" s="701"/>
      <c r="T30" s="701"/>
      <c r="U30" s="701"/>
      <c r="V30" s="701"/>
    </row>
    <row r="31" spans="1:22">
      <c r="A31" s="12" t="s">
        <v>1040</v>
      </c>
      <c r="B31" s="1083" t="s">
        <v>1041</v>
      </c>
      <c r="C31" s="1085"/>
      <c r="D31" s="1085"/>
      <c r="E31" s="1085"/>
      <c r="F31" s="1085"/>
      <c r="G31" s="1085"/>
      <c r="H31" s="1085"/>
      <c r="I31" s="1085"/>
      <c r="J31" s="1085"/>
      <c r="K31" s="1085"/>
      <c r="L31" s="1085"/>
      <c r="M31" s="1127"/>
      <c r="N31" s="701"/>
      <c r="O31" s="701"/>
      <c r="P31" s="701"/>
      <c r="T31" s="701"/>
      <c r="U31" s="701"/>
      <c r="V31" s="701"/>
    </row>
    <row r="32" spans="1:22" ht="37.5" customHeight="1">
      <c r="A32" s="12" t="s">
        <v>1042</v>
      </c>
      <c r="B32" s="1083" t="s">
        <v>1043</v>
      </c>
      <c r="C32" s="1085"/>
      <c r="D32" s="1085"/>
      <c r="E32" s="1085"/>
      <c r="F32" s="1085"/>
      <c r="G32" s="1085"/>
      <c r="H32" s="1085"/>
      <c r="I32" s="1085"/>
      <c r="J32" s="1085"/>
      <c r="K32" s="1085"/>
      <c r="L32" s="1085"/>
      <c r="M32" s="1077"/>
      <c r="T32" s="701"/>
      <c r="U32" s="701"/>
      <c r="V32" s="701"/>
    </row>
    <row r="33" spans="1:22" ht="36.75" customHeight="1">
      <c r="A33" s="12" t="s">
        <v>1044</v>
      </c>
      <c r="B33" s="1083" t="s">
        <v>1045</v>
      </c>
      <c r="C33" s="1085"/>
      <c r="D33" s="1085"/>
      <c r="E33" s="1085"/>
      <c r="F33" s="1085"/>
      <c r="G33" s="1085"/>
      <c r="H33" s="1085"/>
      <c r="I33" s="1085"/>
      <c r="J33" s="1085"/>
      <c r="K33" s="1085"/>
      <c r="L33" s="1085"/>
      <c r="M33" s="1077"/>
      <c r="T33" s="701"/>
      <c r="U33" s="701"/>
      <c r="V33" s="701"/>
    </row>
    <row r="34" spans="1:22" ht="26.4">
      <c r="A34" s="12" t="s">
        <v>1046</v>
      </c>
      <c r="B34" s="1083" t="s">
        <v>1047</v>
      </c>
      <c r="C34" s="1085"/>
      <c r="D34" s="1085"/>
      <c r="E34" s="1085"/>
      <c r="F34" s="1085"/>
      <c r="G34" s="1085"/>
      <c r="H34" s="1085"/>
      <c r="I34" s="1085"/>
      <c r="J34" s="1085"/>
      <c r="K34" s="1085"/>
      <c r="L34" s="1085"/>
      <c r="M34" s="1077"/>
      <c r="T34" s="701"/>
      <c r="U34" s="701"/>
      <c r="V34" s="701"/>
    </row>
    <row r="35" spans="1:22">
      <c r="A35" s="1128" t="s">
        <v>1048</v>
      </c>
      <c r="B35" s="1111" t="s">
        <v>1049</v>
      </c>
      <c r="C35" s="1129">
        <f>5927.9-C26</f>
        <v>5927.9</v>
      </c>
      <c r="D35" s="1113">
        <f>SUM(D36:D45)</f>
        <v>0</v>
      </c>
      <c r="E35" s="386">
        <f>(6611+53.3)-E26</f>
        <v>6642.9400000000005</v>
      </c>
      <c r="F35" s="386">
        <f>(231.8+247.4)-F26</f>
        <v>290.83000000000004</v>
      </c>
      <c r="G35" s="1112">
        <f>SUM(C35:F35)</f>
        <v>12861.67</v>
      </c>
      <c r="H35" s="1112">
        <v>4940.6400000000003</v>
      </c>
      <c r="I35" s="1112">
        <v>0</v>
      </c>
      <c r="J35" s="1112">
        <v>4637.9399999999996</v>
      </c>
      <c r="K35" s="1112">
        <v>54.15</v>
      </c>
      <c r="L35" s="1112">
        <f>SUM(H35:K35)</f>
        <v>9632.73</v>
      </c>
      <c r="M35" s="1109">
        <v>9632.73</v>
      </c>
      <c r="N35" s="1109"/>
      <c r="T35" s="701"/>
      <c r="U35" s="701"/>
      <c r="V35" s="701"/>
    </row>
    <row r="36" spans="1:22" ht="26.4">
      <c r="A36" s="12" t="s">
        <v>1050</v>
      </c>
      <c r="B36" s="1083" t="s">
        <v>1051</v>
      </c>
      <c r="C36" s="1085"/>
      <c r="D36" s="1085"/>
      <c r="E36" s="1085"/>
      <c r="F36" s="1091"/>
      <c r="G36" s="1091"/>
      <c r="H36" s="1085"/>
      <c r="I36" s="1085"/>
      <c r="J36" s="1085"/>
      <c r="K36" s="1130"/>
      <c r="L36" s="1130"/>
      <c r="M36" s="1077"/>
      <c r="T36" s="701"/>
      <c r="U36" s="701"/>
      <c r="V36" s="701"/>
    </row>
    <row r="37" spans="1:22" ht="26.4">
      <c r="A37" s="12" t="s">
        <v>1052</v>
      </c>
      <c r="B37" s="1083" t="s">
        <v>1053</v>
      </c>
      <c r="C37" s="1085"/>
      <c r="D37" s="1085"/>
      <c r="E37" s="1085"/>
      <c r="F37" s="1091"/>
      <c r="G37" s="1091"/>
      <c r="H37" s="1085"/>
      <c r="I37" s="1085"/>
      <c r="J37" s="1085"/>
      <c r="K37" s="1091"/>
      <c r="L37" s="1091"/>
      <c r="M37" s="1077"/>
      <c r="T37" s="701"/>
      <c r="U37" s="701"/>
      <c r="V37" s="701"/>
    </row>
    <row r="38" spans="1:22" ht="26.4">
      <c r="A38" s="12" t="s">
        <v>1054</v>
      </c>
      <c r="B38" s="1083" t="s">
        <v>1055</v>
      </c>
      <c r="C38" s="1085"/>
      <c r="D38" s="1085"/>
      <c r="E38" s="1085"/>
      <c r="F38" s="1091"/>
      <c r="G38" s="1091"/>
      <c r="H38" s="1085"/>
      <c r="I38" s="1085"/>
      <c r="J38" s="1085"/>
      <c r="K38" s="1091"/>
      <c r="L38" s="1091"/>
      <c r="M38" s="1077"/>
      <c r="T38" s="701"/>
      <c r="U38" s="701"/>
      <c r="V38" s="701"/>
    </row>
    <row r="39" spans="1:22">
      <c r="A39" s="12" t="s">
        <v>1056</v>
      </c>
      <c r="B39" s="1117" t="s">
        <v>1057</v>
      </c>
      <c r="C39" s="63">
        <v>0</v>
      </c>
      <c r="D39" s="63">
        <v>0</v>
      </c>
      <c r="E39" s="63">
        <v>0</v>
      </c>
      <c r="F39" s="63">
        <v>0</v>
      </c>
      <c r="G39" s="185">
        <f>SUM(C39:F39)</f>
        <v>0</v>
      </c>
      <c r="H39" s="63">
        <v>0</v>
      </c>
      <c r="I39" s="63">
        <v>0</v>
      </c>
      <c r="J39" s="63">
        <v>0</v>
      </c>
      <c r="K39" s="63">
        <v>0</v>
      </c>
      <c r="L39" s="185">
        <f>SUM(H39:K39)</f>
        <v>0</v>
      </c>
      <c r="M39" s="1077"/>
      <c r="T39" s="701"/>
      <c r="U39" s="701"/>
      <c r="V39" s="701"/>
    </row>
    <row r="40" spans="1:22" ht="26.4">
      <c r="A40" s="12" t="s">
        <v>1058</v>
      </c>
      <c r="B40" s="1083" t="s">
        <v>1059</v>
      </c>
      <c r="C40" s="1085"/>
      <c r="D40" s="1085"/>
      <c r="E40" s="1085"/>
      <c r="F40" s="1085"/>
      <c r="G40" s="1085"/>
      <c r="H40" s="1085"/>
      <c r="I40" s="1085"/>
      <c r="J40" s="1085"/>
      <c r="K40" s="1085"/>
      <c r="L40" s="1085"/>
      <c r="M40" s="1077"/>
      <c r="T40" s="701"/>
      <c r="U40" s="701"/>
      <c r="V40" s="701"/>
    </row>
    <row r="41" spans="1:22" ht="26.4">
      <c r="A41" s="12" t="s">
        <v>1060</v>
      </c>
      <c r="B41" s="1083" t="s">
        <v>1061</v>
      </c>
      <c r="C41" s="1085"/>
      <c r="D41" s="1085"/>
      <c r="E41" s="1085"/>
      <c r="F41" s="1085"/>
      <c r="G41" s="1085"/>
      <c r="H41" s="1085"/>
      <c r="I41" s="1085"/>
      <c r="J41" s="1085"/>
      <c r="K41" s="1085"/>
      <c r="L41" s="1085"/>
      <c r="M41" s="1077"/>
      <c r="T41" s="701"/>
      <c r="U41" s="701"/>
      <c r="V41" s="701"/>
    </row>
    <row r="42" spans="1:22" ht="26.4">
      <c r="A42" s="12" t="s">
        <v>1062</v>
      </c>
      <c r="B42" s="1083" t="s">
        <v>1063</v>
      </c>
      <c r="C42" s="1085"/>
      <c r="D42" s="1085"/>
      <c r="E42" s="1085"/>
      <c r="F42" s="1085"/>
      <c r="G42" s="1085"/>
      <c r="H42" s="1085"/>
      <c r="I42" s="1085"/>
      <c r="J42" s="1085"/>
      <c r="K42" s="1085"/>
      <c r="L42" s="1085"/>
      <c r="M42" s="1077"/>
      <c r="T42" s="701"/>
      <c r="U42" s="701"/>
      <c r="V42" s="701"/>
    </row>
    <row r="43" spans="1:22" ht="39.6">
      <c r="A43" s="12" t="s">
        <v>1064</v>
      </c>
      <c r="B43" s="1083" t="s">
        <v>1065</v>
      </c>
      <c r="C43" s="1085"/>
      <c r="D43" s="1085"/>
      <c r="E43" s="1085"/>
      <c r="F43" s="1085"/>
      <c r="G43" s="1085"/>
      <c r="H43" s="1085"/>
      <c r="I43" s="1085"/>
      <c r="J43" s="1085"/>
      <c r="K43" s="1085"/>
      <c r="L43" s="1085"/>
      <c r="M43" s="1077"/>
      <c r="T43" s="701"/>
      <c r="U43" s="701"/>
      <c r="V43" s="701"/>
    </row>
    <row r="44" spans="1:22" ht="14.25" customHeight="1">
      <c r="A44" s="12" t="s">
        <v>1066</v>
      </c>
      <c r="B44" s="1083" t="s">
        <v>1067</v>
      </c>
      <c r="C44" s="1085"/>
      <c r="D44" s="1085"/>
      <c r="E44" s="1085"/>
      <c r="F44" s="1085"/>
      <c r="G44" s="1085"/>
      <c r="H44" s="1085"/>
      <c r="I44" s="1085"/>
      <c r="J44" s="1085"/>
      <c r="K44" s="1085"/>
      <c r="L44" s="1085"/>
      <c r="M44" s="1077"/>
    </row>
    <row r="45" spans="1:22">
      <c r="A45" s="12" t="s">
        <v>1068</v>
      </c>
      <c r="B45" s="1083" t="s">
        <v>1069</v>
      </c>
      <c r="C45" s="1085"/>
      <c r="D45" s="1085"/>
      <c r="E45" s="1085"/>
      <c r="F45" s="1085"/>
      <c r="G45" s="1085"/>
      <c r="H45" s="1085"/>
      <c r="I45" s="1085"/>
      <c r="J45" s="1085"/>
      <c r="K45" s="1085"/>
      <c r="L45" s="1085"/>
      <c r="M45" s="1077"/>
    </row>
    <row r="46" spans="1:22" ht="15.75" customHeight="1">
      <c r="A46" s="12" t="s">
        <v>1070</v>
      </c>
      <c r="B46" s="1083" t="s">
        <v>1071</v>
      </c>
      <c r="C46" s="1085"/>
      <c r="D46" s="1085"/>
      <c r="E46" s="1085"/>
      <c r="F46" s="1085"/>
      <c r="G46" s="1085"/>
      <c r="H46" s="1085"/>
      <c r="I46" s="1085"/>
      <c r="J46" s="1085"/>
      <c r="K46" s="1085"/>
      <c r="L46" s="1085"/>
      <c r="M46" s="1077"/>
    </row>
    <row r="47" spans="1:22" ht="15.75" customHeight="1">
      <c r="B47" s="1131"/>
      <c r="C47" s="1132"/>
      <c r="D47" s="1132"/>
      <c r="E47" s="1132"/>
      <c r="F47" s="1132"/>
      <c r="G47" s="1132"/>
      <c r="H47" s="1132"/>
      <c r="I47" s="1132"/>
      <c r="J47" s="1132"/>
      <c r="K47" s="1132"/>
      <c r="L47" s="1133"/>
    </row>
    <row r="49" spans="1:12" s="22" customFormat="1" ht="15.6">
      <c r="B49" s="40"/>
      <c r="C49" s="23"/>
      <c r="J49" s="13"/>
      <c r="L49" s="41"/>
    </row>
    <row r="50" spans="1:12" s="623" customFormat="1" ht="23.25" customHeight="1">
      <c r="A50" s="713" t="s">
        <v>632</v>
      </c>
      <c r="B50" s="621"/>
      <c r="C50" s="622"/>
      <c r="H50" s="624"/>
    </row>
    <row r="51" spans="1:12" s="623" customFormat="1" ht="15" customHeight="1">
      <c r="A51" s="713" t="s">
        <v>633</v>
      </c>
      <c r="B51" s="625"/>
      <c r="C51" s="622"/>
      <c r="E51" s="626"/>
      <c r="F51" s="626"/>
      <c r="H51" s="1134" t="s">
        <v>634</v>
      </c>
    </row>
    <row r="52" spans="1:12" s="22" customFormat="1">
      <c r="A52" s="1135"/>
      <c r="H52" s="702"/>
    </row>
    <row r="53" spans="1:12" s="22" customFormat="1">
      <c r="A53" s="1135"/>
      <c r="H53" s="702"/>
    </row>
    <row r="54" spans="1:12" s="22" customFormat="1">
      <c r="A54" s="1135"/>
      <c r="H54" s="702"/>
    </row>
    <row r="55" spans="1:12" s="22" customFormat="1">
      <c r="A55" s="1135"/>
      <c r="H55" s="702"/>
    </row>
    <row r="56" spans="1:12" s="22" customFormat="1">
      <c r="A56" s="1135"/>
      <c r="H56" s="702"/>
    </row>
    <row r="57" spans="1:12" s="22" customFormat="1">
      <c r="A57" s="1135"/>
      <c r="H57" s="702"/>
    </row>
    <row r="58" spans="1:12" s="22" customFormat="1">
      <c r="A58" s="1135"/>
      <c r="H58" s="702"/>
    </row>
    <row r="59" spans="1:12" s="22" customFormat="1">
      <c r="A59" s="1135"/>
      <c r="H59" s="702"/>
    </row>
    <row r="60" spans="1:12" s="22" customFormat="1">
      <c r="A60" s="1135"/>
      <c r="H60" s="702"/>
    </row>
    <row r="63" spans="1:12" s="22" customFormat="1"/>
    <row r="64" spans="1:12" s="22" customFormat="1"/>
    <row r="65" spans="1:1" s="22" customFormat="1">
      <c r="A65" s="1136" t="s">
        <v>169</v>
      </c>
    </row>
    <row r="66" spans="1:1" s="22" customFormat="1">
      <c r="A66" s="1136" t="s">
        <v>1072</v>
      </c>
    </row>
    <row r="67" spans="1:1" s="22" customFormat="1"/>
    <row r="68" spans="1:1" s="22" customFormat="1"/>
  </sheetData>
  <mergeCells count="2">
    <mergeCell ref="A7:A10"/>
    <mergeCell ref="B7:B10"/>
  </mergeCells>
  <printOptions horizontalCentered="1"/>
  <pageMargins left="0.78740157480314965" right="0.78740157480314965" top="0.59055118110236227" bottom="0.39370078740157483" header="0.51181102362204722" footer="3.937007874015748E-2"/>
  <pageSetup paperSize="9" scale="87" orientation="landscape" r:id="rId1"/>
  <headerFooter alignWithMargins="0">
    <oddFooter>&amp;R&amp;8&amp;P</oddFooter>
  </headerFooter>
  <rowBreaks count="1" manualBreakCount="1">
    <brk id="34" max="11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Q82"/>
  <sheetViews>
    <sheetView zoomScale="85" zoomScaleNormal="85" workbookViewId="0">
      <selection activeCell="K8" sqref="K8"/>
    </sheetView>
  </sheetViews>
  <sheetFormatPr defaultColWidth="9.109375" defaultRowHeight="13.8"/>
  <cols>
    <col min="1" max="1" width="11.5546875" style="1366" customWidth="1"/>
    <col min="2" max="2" width="62" style="1366" customWidth="1"/>
    <col min="3" max="3" width="12.6640625" style="1366" customWidth="1"/>
    <col min="4" max="4" width="17.6640625" style="1366" customWidth="1"/>
    <col min="5" max="5" width="17.6640625" style="1366" hidden="1" customWidth="1"/>
    <col min="6" max="6" width="17.6640625" style="1366" customWidth="1"/>
    <col min="7" max="8" width="17.6640625" style="1366" hidden="1" customWidth="1"/>
    <col min="9" max="11" width="17.6640625" style="1366" customWidth="1"/>
    <col min="12" max="12" width="9.109375" style="1366"/>
    <col min="13" max="17" width="0" style="1366" hidden="1" customWidth="1"/>
    <col min="18" max="16384" width="9.109375" style="1366"/>
  </cols>
  <sheetData>
    <row r="1" spans="1:12" ht="18.75" customHeight="1">
      <c r="A1" s="1365" t="s">
        <v>1208</v>
      </c>
      <c r="B1" s="1365"/>
      <c r="C1" s="1365"/>
      <c r="D1" s="1365"/>
      <c r="E1" s="1479"/>
      <c r="F1" s="1365"/>
      <c r="G1" s="1365"/>
      <c r="H1" s="1365"/>
      <c r="I1" s="1365"/>
      <c r="J1" s="1365"/>
      <c r="K1" s="1365"/>
    </row>
    <row r="2" spans="1:12" ht="9" customHeight="1"/>
    <row r="3" spans="1:12" ht="21" customHeight="1">
      <c r="A3" s="2027" t="s">
        <v>1152</v>
      </c>
      <c r="B3" s="2028"/>
      <c r="C3" s="2028"/>
      <c r="D3" s="1367"/>
      <c r="E3" s="1367"/>
      <c r="F3" s="1367"/>
      <c r="G3" s="1367"/>
      <c r="H3" s="1367"/>
      <c r="I3" s="1367"/>
      <c r="J3" s="1367"/>
      <c r="K3" s="1367"/>
    </row>
    <row r="4" spans="1:12" ht="18" customHeight="1">
      <c r="A4" s="1368"/>
      <c r="B4" s="1368"/>
      <c r="C4" s="1368"/>
      <c r="D4" s="1368"/>
      <c r="E4" s="1368"/>
      <c r="F4" s="1368"/>
      <c r="G4" s="1369"/>
      <c r="H4" s="1369"/>
      <c r="I4" s="1368"/>
      <c r="K4" s="702" t="s">
        <v>746</v>
      </c>
      <c r="L4" s="1370"/>
    </row>
    <row r="5" spans="1:12" ht="58.5" customHeight="1">
      <c r="A5" s="1371" t="s">
        <v>835</v>
      </c>
      <c r="B5" s="1372" t="s">
        <v>292</v>
      </c>
      <c r="C5" s="1372" t="s">
        <v>74</v>
      </c>
      <c r="D5" s="1373" t="s">
        <v>1153</v>
      </c>
      <c r="E5" s="1373" t="s">
        <v>1211</v>
      </c>
      <c r="F5" s="1373" t="s">
        <v>1154</v>
      </c>
      <c r="G5" s="1374" t="s">
        <v>1155</v>
      </c>
      <c r="H5" s="1374" t="s">
        <v>1156</v>
      </c>
      <c r="I5" s="1373" t="s">
        <v>1177</v>
      </c>
      <c r="J5" s="1373" t="s">
        <v>1209</v>
      </c>
      <c r="K5" s="1375" t="s">
        <v>1157</v>
      </c>
    </row>
    <row r="6" spans="1:12" s="1379" customFormat="1" ht="14.25" customHeight="1">
      <c r="A6" s="1376">
        <v>1</v>
      </c>
      <c r="B6" s="1377">
        <f>A6+1</f>
        <v>2</v>
      </c>
      <c r="C6" s="1378">
        <f>B6+1</f>
        <v>3</v>
      </c>
      <c r="D6" s="1378">
        <f>C6+1</f>
        <v>4</v>
      </c>
      <c r="E6" s="1378">
        <v>5</v>
      </c>
      <c r="F6" s="1378">
        <v>5</v>
      </c>
      <c r="G6" s="1378"/>
      <c r="H6" s="1378"/>
      <c r="I6" s="1378">
        <v>6</v>
      </c>
      <c r="J6" s="1378">
        <v>7</v>
      </c>
      <c r="K6" s="1378">
        <v>8</v>
      </c>
    </row>
    <row r="7" spans="1:12" ht="19.5" customHeight="1">
      <c r="A7" s="1380" t="s">
        <v>385</v>
      </c>
      <c r="B7" s="1381" t="s">
        <v>1158</v>
      </c>
      <c r="C7" s="1382" t="s">
        <v>32</v>
      </c>
      <c r="D7" s="1383">
        <v>6.6000000000000003E-2</v>
      </c>
      <c r="E7" s="1383">
        <v>4.5999999999999999E-2</v>
      </c>
      <c r="F7" s="1383">
        <v>4.5999999999999999E-2</v>
      </c>
      <c r="G7" s="1384"/>
      <c r="H7" s="1385"/>
      <c r="I7" s="1383">
        <v>5.5E-2</v>
      </c>
      <c r="J7" s="1386">
        <v>0.05</v>
      </c>
      <c r="K7" s="1387">
        <v>5.3999999999999999E-2</v>
      </c>
    </row>
    <row r="8" spans="1:12" ht="19.5" customHeight="1">
      <c r="A8" s="1380" t="s">
        <v>386</v>
      </c>
      <c r="B8" s="1381" t="s">
        <v>1159</v>
      </c>
      <c r="C8" s="1382" t="s">
        <v>32</v>
      </c>
      <c r="D8" s="1388"/>
      <c r="E8" s="1388">
        <v>0.01</v>
      </c>
      <c r="F8" s="1383">
        <v>0.01</v>
      </c>
      <c r="G8" s="1389"/>
      <c r="H8" s="1390">
        <v>0.01</v>
      </c>
      <c r="I8" s="1383">
        <v>0.01</v>
      </c>
      <c r="J8" s="1383">
        <v>0.01</v>
      </c>
      <c r="K8" s="1383">
        <v>0.01</v>
      </c>
    </row>
    <row r="9" spans="1:12" ht="19.5" customHeight="1">
      <c r="A9" s="1380" t="s">
        <v>1160</v>
      </c>
      <c r="B9" s="1381" t="s">
        <v>1161</v>
      </c>
      <c r="C9" s="1382" t="s">
        <v>667</v>
      </c>
      <c r="D9" s="1391"/>
      <c r="E9" s="1391">
        <f>П.2.1.!K7</f>
        <v>0</v>
      </c>
      <c r="F9" s="1391">
        <f>П.2.1.!L7</f>
        <v>664.83879999999999</v>
      </c>
      <c r="G9" s="1392">
        <f>$F$9</f>
        <v>664.83879999999999</v>
      </c>
      <c r="H9" s="1392">
        <f>$F$9</f>
        <v>664.83879999999999</v>
      </c>
      <c r="I9" s="1391">
        <f>F9</f>
        <v>664.83879999999999</v>
      </c>
      <c r="J9" s="1391">
        <f>I9</f>
        <v>664.83879999999999</v>
      </c>
      <c r="K9" s="1475">
        <f>J9</f>
        <v>664.83879999999999</v>
      </c>
    </row>
    <row r="10" spans="1:12" ht="19.5" customHeight="1">
      <c r="A10" s="1380" t="s">
        <v>1162</v>
      </c>
      <c r="B10" s="1381" t="s">
        <v>1163</v>
      </c>
      <c r="C10" s="1382" t="s">
        <v>32</v>
      </c>
      <c r="D10" s="1388"/>
      <c r="E10" s="1388">
        <v>0</v>
      </c>
      <c r="F10" s="1383">
        <f>IF(D9=0,0,(F9-D9)/D9)</f>
        <v>0</v>
      </c>
      <c r="G10" s="1390">
        <f>IF(F9=0,0,(G9-F9)/F9)</f>
        <v>0</v>
      </c>
      <c r="H10" s="1390">
        <f>IF(G9=0,0,(H9-G9)/G9)</f>
        <v>0</v>
      </c>
      <c r="I10" s="1383">
        <f>IF(F9=0,0,(I9-F9)/F9)</f>
        <v>0</v>
      </c>
      <c r="J10" s="1383">
        <f>IF(I9=0,0,(J9-I9)/I9)</f>
        <v>0</v>
      </c>
      <c r="K10" s="1383">
        <f>IF(J9=0,0,(K9-J9)/J9)</f>
        <v>0</v>
      </c>
    </row>
    <row r="11" spans="1:12" ht="19.5" customHeight="1">
      <c r="A11" s="1380" t="s">
        <v>1164</v>
      </c>
      <c r="B11" s="1393" t="s">
        <v>1165</v>
      </c>
      <c r="C11" s="1394"/>
      <c r="D11" s="1395"/>
      <c r="E11" s="1395"/>
      <c r="F11" s="1395"/>
      <c r="G11" s="1396"/>
      <c r="H11" s="1396"/>
      <c r="I11" s="1395">
        <v>0.75</v>
      </c>
      <c r="J11" s="1395">
        <v>0.75</v>
      </c>
      <c r="K11" s="1395">
        <v>0.75</v>
      </c>
    </row>
    <row r="12" spans="1:12" ht="19.5" customHeight="1">
      <c r="A12" s="1397" t="s">
        <v>1166</v>
      </c>
      <c r="B12" s="1393" t="s">
        <v>1167</v>
      </c>
      <c r="C12" s="1394"/>
      <c r="D12" s="1395"/>
      <c r="E12" s="1395">
        <f>(1+E7)</f>
        <v>1.046</v>
      </c>
      <c r="F12" s="1398">
        <f>(1+F7)</f>
        <v>1.046</v>
      </c>
      <c r="G12" s="1396"/>
      <c r="H12" s="1396"/>
      <c r="I12" s="1398">
        <f>(1+I7)*(1-I8)*(1+I10*I11)</f>
        <v>1.0444499999999999</v>
      </c>
      <c r="J12" s="1398">
        <f>(1+J7)*(1-J8)*(1+J10*J11)</f>
        <v>1.0395000000000001</v>
      </c>
      <c r="K12" s="1483">
        <f>(1+K7)*(1-K8)*(1+K10*K11)</f>
        <v>1.0434600000000001</v>
      </c>
    </row>
    <row r="13" spans="1:12" ht="60.75" customHeight="1">
      <c r="A13" s="1399" t="s">
        <v>1168</v>
      </c>
      <c r="B13" s="1400" t="s">
        <v>1169</v>
      </c>
      <c r="C13" s="1401" t="s">
        <v>32</v>
      </c>
      <c r="D13" s="1402"/>
      <c r="E13" s="1402">
        <v>1</v>
      </c>
      <c r="F13" s="1403">
        <v>1</v>
      </c>
      <c r="G13" s="1402"/>
      <c r="H13" s="1402"/>
      <c r="I13" s="1403">
        <v>2</v>
      </c>
      <c r="J13" s="1403">
        <v>2</v>
      </c>
      <c r="K13" s="1403">
        <v>2</v>
      </c>
    </row>
    <row r="14" spans="1:12" ht="38.25" customHeight="1">
      <c r="A14" s="1399" t="s">
        <v>1170</v>
      </c>
      <c r="B14" s="1400" t="s">
        <v>1171</v>
      </c>
      <c r="C14" s="1401"/>
      <c r="D14" s="1404">
        <v>0</v>
      </c>
      <c r="E14" s="1404">
        <v>0.503</v>
      </c>
      <c r="F14" s="1403">
        <v>0.503</v>
      </c>
      <c r="G14" s="1402"/>
      <c r="H14" s="1402"/>
      <c r="I14" s="1403"/>
      <c r="J14" s="1476">
        <f>F14*(1-1.5/100)+0.001</f>
        <v>0.49645499999999998</v>
      </c>
      <c r="K14" s="1476">
        <f>J14*(1-1.5/100)-0.001</f>
        <v>0.48800817499999999</v>
      </c>
    </row>
    <row r="15" spans="1:12" ht="30.75" customHeight="1">
      <c r="A15" s="1399" t="s">
        <v>1172</v>
      </c>
      <c r="B15" s="1400" t="s">
        <v>1173</v>
      </c>
      <c r="C15" s="1401"/>
      <c r="D15" s="1404">
        <v>0</v>
      </c>
      <c r="E15" s="1404">
        <v>0.94799999999999995</v>
      </c>
      <c r="F15" s="1403">
        <v>0.94799999999999995</v>
      </c>
      <c r="G15" s="1402"/>
      <c r="H15" s="1402"/>
      <c r="I15" s="1403"/>
      <c r="J15" s="1403">
        <f>F15</f>
        <v>0.94799999999999995</v>
      </c>
      <c r="K15" s="1403">
        <f>J15</f>
        <v>0.94799999999999995</v>
      </c>
    </row>
    <row r="16" spans="1:12" ht="36" customHeight="1">
      <c r="A16" s="1399" t="s">
        <v>1174</v>
      </c>
      <c r="B16" s="1400" t="s">
        <v>1175</v>
      </c>
      <c r="C16" s="1401"/>
      <c r="D16" s="1404">
        <v>0</v>
      </c>
      <c r="E16" s="1404">
        <v>0.65</v>
      </c>
      <c r="F16" s="1405">
        <v>0.65</v>
      </c>
      <c r="G16" s="1402"/>
      <c r="H16" s="1402"/>
      <c r="I16" s="1405"/>
      <c r="J16" s="1403"/>
      <c r="K16" s="1403"/>
    </row>
    <row r="17" spans="1:14" ht="9" customHeight="1">
      <c r="G17" s="1406"/>
    </row>
    <row r="18" spans="1:14" ht="15.6">
      <c r="A18" s="2027" t="s">
        <v>1176</v>
      </c>
      <c r="B18" s="2028"/>
      <c r="C18" s="2028"/>
      <c r="D18" s="1407"/>
      <c r="E18" s="1407"/>
      <c r="F18" s="1407"/>
      <c r="G18" s="1407"/>
      <c r="H18" s="1407"/>
      <c r="I18" s="1407"/>
      <c r="J18" s="1407"/>
      <c r="K18" s="1407"/>
    </row>
    <row r="19" spans="1:14" ht="11.25" customHeight="1">
      <c r="A19" s="1408"/>
      <c r="B19" s="1408"/>
      <c r="C19" s="1408"/>
      <c r="D19" s="1408"/>
      <c r="E19" s="1408"/>
      <c r="G19" s="1409"/>
    </row>
    <row r="20" spans="1:14" ht="44.25" customHeight="1">
      <c r="A20" s="1371" t="s">
        <v>835</v>
      </c>
      <c r="B20" s="1372" t="s">
        <v>292</v>
      </c>
      <c r="C20" s="1372" t="s">
        <v>74</v>
      </c>
      <c r="D20" s="1410" t="s">
        <v>1153</v>
      </c>
      <c r="E20" s="1373" t="s">
        <v>1210</v>
      </c>
      <c r="F20" s="1410" t="s">
        <v>1154</v>
      </c>
      <c r="G20" s="1374" t="s">
        <v>1155</v>
      </c>
      <c r="H20" s="1374" t="s">
        <v>1156</v>
      </c>
      <c r="I20" s="1410" t="s">
        <v>1177</v>
      </c>
      <c r="J20" s="1373" t="s">
        <v>1209</v>
      </c>
      <c r="K20" s="1410" t="s">
        <v>1157</v>
      </c>
    </row>
    <row r="21" spans="1:14" s="1411" customFormat="1" ht="14.25" customHeight="1">
      <c r="A21" s="1377">
        <v>1</v>
      </c>
      <c r="B21" s="1377">
        <f>A21+1</f>
        <v>2</v>
      </c>
      <c r="C21" s="1378">
        <f>B21+1</f>
        <v>3</v>
      </c>
      <c r="D21" s="1378">
        <f>C21+1</f>
        <v>4</v>
      </c>
      <c r="E21" s="1378">
        <v>5</v>
      </c>
      <c r="F21" s="1378">
        <v>5</v>
      </c>
      <c r="G21" s="1378">
        <v>7</v>
      </c>
      <c r="H21" s="1378">
        <v>8</v>
      </c>
      <c r="I21" s="1378">
        <v>6</v>
      </c>
      <c r="J21" s="1378">
        <v>7</v>
      </c>
      <c r="K21" s="1378">
        <v>8</v>
      </c>
    </row>
    <row r="22" spans="1:14">
      <c r="N22" s="1481"/>
    </row>
    <row r="23" spans="1:14" ht="15" customHeight="1">
      <c r="A23" s="1412" t="s">
        <v>227</v>
      </c>
      <c r="B23" s="1413" t="s">
        <v>677</v>
      </c>
      <c r="C23" s="1414" t="s">
        <v>29</v>
      </c>
      <c r="D23" s="1415">
        <f>SUM(D24:D25)</f>
        <v>273</v>
      </c>
      <c r="E23" s="1415">
        <f>SUM(E24:E25)</f>
        <v>1098.1718876144619</v>
      </c>
      <c r="F23" s="1415">
        <f t="shared" ref="F23:K23" si="0">SUM(F24:F25)</f>
        <v>285.55799999999999</v>
      </c>
      <c r="G23" s="1416">
        <f>SUM(G24:G25)</f>
        <v>0</v>
      </c>
      <c r="H23" s="1416">
        <f t="shared" si="0"/>
        <v>0</v>
      </c>
      <c r="I23" s="1415">
        <f t="shared" si="0"/>
        <v>298.25105309999998</v>
      </c>
      <c r="J23" s="1415">
        <f t="shared" si="0"/>
        <v>310.03196969744999</v>
      </c>
      <c r="K23" s="1415" t="e">
        <f t="shared" si="0"/>
        <v>#REF!</v>
      </c>
    </row>
    <row r="24" spans="1:14">
      <c r="A24" s="1417" t="s">
        <v>39</v>
      </c>
      <c r="B24" s="1418" t="s">
        <v>679</v>
      </c>
      <c r="C24" s="1419" t="s">
        <v>29</v>
      </c>
      <c r="D24" s="431">
        <f>'НВВ на содержание'!D11</f>
        <v>0</v>
      </c>
      <c r="E24" s="1420">
        <v>763.3718876144618</v>
      </c>
      <c r="F24" s="431">
        <f>D24*$F$12</f>
        <v>0</v>
      </c>
      <c r="G24" s="1421"/>
      <c r="H24" s="1421"/>
      <c r="I24" s="431">
        <f>F24*$I$12</f>
        <v>0</v>
      </c>
      <c r="J24" s="431">
        <f>I24*$J$12</f>
        <v>0</v>
      </c>
      <c r="K24" s="1420" t="e">
        <f>#REF!</f>
        <v>#REF!</v>
      </c>
    </row>
    <row r="25" spans="1:14" ht="41.4">
      <c r="A25" s="1417" t="s">
        <v>1178</v>
      </c>
      <c r="B25" s="1418" t="s">
        <v>681</v>
      </c>
      <c r="C25" s="1419" t="s">
        <v>29</v>
      </c>
      <c r="D25" s="1420">
        <f>'НВВ на содержание'!D12</f>
        <v>273</v>
      </c>
      <c r="E25" s="1420">
        <v>334.8</v>
      </c>
      <c r="F25" s="1420">
        <f>D25*$F$12</f>
        <v>285.55799999999999</v>
      </c>
      <c r="G25" s="1421"/>
      <c r="H25" s="1421"/>
      <c r="I25" s="1420">
        <f>F25*$I$12</f>
        <v>298.25105309999998</v>
      </c>
      <c r="J25" s="1420">
        <f t="shared" ref="J25:J40" si="1">I25*$J$12</f>
        <v>310.03196969744999</v>
      </c>
      <c r="K25" s="1420" t="e">
        <f>#REF!</f>
        <v>#REF!</v>
      </c>
    </row>
    <row r="26" spans="1:14">
      <c r="A26" s="1412" t="s">
        <v>228</v>
      </c>
      <c r="B26" s="1413" t="s">
        <v>682</v>
      </c>
      <c r="C26" s="1414" t="s">
        <v>29</v>
      </c>
      <c r="D26" s="1415">
        <f>'НВВ на содержание'!D13</f>
        <v>1196.5</v>
      </c>
      <c r="E26" s="1415">
        <v>4280.7388780800002</v>
      </c>
      <c r="F26" s="1415">
        <f>D26*1.055-0.3</f>
        <v>1262.0074999999999</v>
      </c>
      <c r="G26" s="1416"/>
      <c r="H26" s="1416"/>
      <c r="I26" s="1415">
        <f>F26*$I$12</f>
        <v>1318.1037333749998</v>
      </c>
      <c r="J26" s="1415">
        <f t="shared" si="1"/>
        <v>1370.1688308433124</v>
      </c>
      <c r="K26" s="1415" t="e">
        <f>#REF!</f>
        <v>#REF!</v>
      </c>
    </row>
    <row r="27" spans="1:14">
      <c r="A27" s="1412" t="s">
        <v>31</v>
      </c>
      <c r="B27" s="1413" t="s">
        <v>683</v>
      </c>
      <c r="C27" s="1414" t="s">
        <v>29</v>
      </c>
      <c r="D27" s="1415">
        <f>SUM(D28:D29,D36:D40)</f>
        <v>50</v>
      </c>
      <c r="E27" s="1415">
        <f>SUM(E28:E29,E36:E40)</f>
        <v>537.1</v>
      </c>
      <c r="F27" s="1415">
        <f t="shared" ref="F27:K27" si="2">SUM(F28:F29,F36:F40)</f>
        <v>52.300000000000004</v>
      </c>
      <c r="G27" s="1416">
        <f>SUM(G28:G29,G36:G40)</f>
        <v>0</v>
      </c>
      <c r="H27" s="1416">
        <f t="shared" si="2"/>
        <v>0</v>
      </c>
      <c r="I27" s="1415">
        <f t="shared" si="2"/>
        <v>53.400000000000006</v>
      </c>
      <c r="J27" s="1415">
        <f t="shared" si="2"/>
        <v>55.50930000000001</v>
      </c>
      <c r="K27" s="1415">
        <f t="shared" si="2"/>
        <v>55.72076400000001</v>
      </c>
    </row>
    <row r="28" spans="1:14">
      <c r="A28" s="1417" t="s">
        <v>1179</v>
      </c>
      <c r="B28" s="1418" t="s">
        <v>685</v>
      </c>
      <c r="C28" s="1419" t="s">
        <v>29</v>
      </c>
      <c r="D28" s="1420"/>
      <c r="E28" s="1420"/>
      <c r="F28" s="1429">
        <f t="shared" ref="F28:F40" si="3">D28*$F$12</f>
        <v>0</v>
      </c>
      <c r="G28" s="1421"/>
      <c r="H28" s="1421"/>
      <c r="I28" s="1429">
        <f t="shared" ref="I28:I39" si="4">F28*$I$12</f>
        <v>0</v>
      </c>
      <c r="J28" s="1429">
        <f t="shared" si="1"/>
        <v>0</v>
      </c>
      <c r="K28" s="1477">
        <f t="shared" ref="K28:K39" si="5">I28*$K$12</f>
        <v>0</v>
      </c>
    </row>
    <row r="29" spans="1:14">
      <c r="A29" s="1417" t="s">
        <v>1180</v>
      </c>
      <c r="B29" s="1418" t="s">
        <v>688</v>
      </c>
      <c r="C29" s="1419" t="s">
        <v>29</v>
      </c>
      <c r="D29" s="431">
        <f>SUM(D30:D35)</f>
        <v>0</v>
      </c>
      <c r="E29" s="431"/>
      <c r="F29" s="1429">
        <f t="shared" si="3"/>
        <v>0</v>
      </c>
      <c r="G29" s="1421">
        <f>SUM(G30:G35)</f>
        <v>0</v>
      </c>
      <c r="H29" s="1421">
        <f>SUM(H30:H35)</f>
        <v>0</v>
      </c>
      <c r="I29" s="1429">
        <f t="shared" si="4"/>
        <v>0</v>
      </c>
      <c r="J29" s="1429">
        <f t="shared" si="1"/>
        <v>0</v>
      </c>
      <c r="K29" s="1477">
        <f t="shared" si="5"/>
        <v>0</v>
      </c>
    </row>
    <row r="30" spans="1:14" ht="19.5" customHeight="1">
      <c r="A30" s="1424" t="s">
        <v>1181</v>
      </c>
      <c r="B30" s="1425" t="s">
        <v>690</v>
      </c>
      <c r="C30" s="1419" t="s">
        <v>29</v>
      </c>
      <c r="D30" s="1420"/>
      <c r="E30" s="1420"/>
      <c r="F30" s="1429">
        <f t="shared" si="3"/>
        <v>0</v>
      </c>
      <c r="G30" s="1421"/>
      <c r="H30" s="1421"/>
      <c r="I30" s="1429">
        <f t="shared" si="4"/>
        <v>0</v>
      </c>
      <c r="J30" s="1429">
        <f t="shared" si="1"/>
        <v>0</v>
      </c>
      <c r="K30" s="1477">
        <f t="shared" si="5"/>
        <v>0</v>
      </c>
    </row>
    <row r="31" spans="1:14" ht="30" customHeight="1">
      <c r="A31" s="1424" t="s">
        <v>1182</v>
      </c>
      <c r="B31" s="1425" t="s">
        <v>692</v>
      </c>
      <c r="C31" s="1419" t="s">
        <v>29</v>
      </c>
      <c r="D31" s="1426"/>
      <c r="E31" s="1426"/>
      <c r="F31" s="1429">
        <f t="shared" si="3"/>
        <v>0</v>
      </c>
      <c r="G31" s="1427"/>
      <c r="H31" s="1427"/>
      <c r="I31" s="1429">
        <f t="shared" si="4"/>
        <v>0</v>
      </c>
      <c r="J31" s="1429">
        <f t="shared" si="1"/>
        <v>0</v>
      </c>
      <c r="K31" s="1477">
        <f t="shared" si="5"/>
        <v>0</v>
      </c>
    </row>
    <row r="32" spans="1:14" ht="18.75" customHeight="1">
      <c r="A32" s="1424" t="s">
        <v>1183</v>
      </c>
      <c r="B32" s="1425" t="s">
        <v>694</v>
      </c>
      <c r="C32" s="1419" t="s">
        <v>29</v>
      </c>
      <c r="D32" s="1420"/>
      <c r="E32" s="1420"/>
      <c r="F32" s="1429">
        <f t="shared" si="3"/>
        <v>0</v>
      </c>
      <c r="G32" s="1421"/>
      <c r="H32" s="1421"/>
      <c r="I32" s="1429">
        <f t="shared" si="4"/>
        <v>0</v>
      </c>
      <c r="J32" s="1429">
        <f t="shared" si="1"/>
        <v>0</v>
      </c>
      <c r="K32" s="1477">
        <f t="shared" si="5"/>
        <v>0</v>
      </c>
    </row>
    <row r="33" spans="1:11" ht="18" customHeight="1">
      <c r="A33" s="1424" t="s">
        <v>1184</v>
      </c>
      <c r="B33" s="1425" t="s">
        <v>696</v>
      </c>
      <c r="C33" s="1419" t="s">
        <v>29</v>
      </c>
      <c r="D33" s="1426"/>
      <c r="E33" s="1426"/>
      <c r="F33" s="1429">
        <f t="shared" si="3"/>
        <v>0</v>
      </c>
      <c r="G33" s="1427"/>
      <c r="H33" s="1427"/>
      <c r="I33" s="1429">
        <f t="shared" si="4"/>
        <v>0</v>
      </c>
      <c r="J33" s="1429">
        <f t="shared" si="1"/>
        <v>0</v>
      </c>
      <c r="K33" s="1477">
        <f t="shared" si="5"/>
        <v>0</v>
      </c>
    </row>
    <row r="34" spans="1:11" ht="15" customHeight="1">
      <c r="A34" s="1424" t="s">
        <v>1185</v>
      </c>
      <c r="B34" s="1425" t="s">
        <v>698</v>
      </c>
      <c r="C34" s="1419" t="s">
        <v>29</v>
      </c>
      <c r="D34" s="1420"/>
      <c r="E34" s="1420"/>
      <c r="F34" s="1429">
        <f t="shared" si="3"/>
        <v>0</v>
      </c>
      <c r="G34" s="1421"/>
      <c r="H34" s="1421"/>
      <c r="I34" s="1429">
        <f t="shared" si="4"/>
        <v>0</v>
      </c>
      <c r="J34" s="1429">
        <f t="shared" si="1"/>
        <v>0</v>
      </c>
      <c r="K34" s="1477">
        <f t="shared" si="5"/>
        <v>0</v>
      </c>
    </row>
    <row r="35" spans="1:11" ht="18.75" customHeight="1">
      <c r="A35" s="1424" t="s">
        <v>1186</v>
      </c>
      <c r="B35" s="1428" t="s">
        <v>700</v>
      </c>
      <c r="C35" s="1419" t="s">
        <v>29</v>
      </c>
      <c r="D35" s="1426"/>
      <c r="E35" s="1426"/>
      <c r="F35" s="1429">
        <f t="shared" si="3"/>
        <v>0</v>
      </c>
      <c r="G35" s="1427"/>
      <c r="H35" s="1427"/>
      <c r="I35" s="1429">
        <f t="shared" si="4"/>
        <v>0</v>
      </c>
      <c r="J35" s="1429">
        <f t="shared" si="1"/>
        <v>0</v>
      </c>
      <c r="K35" s="1477">
        <f t="shared" si="5"/>
        <v>0</v>
      </c>
    </row>
    <row r="36" spans="1:11" ht="17.25" customHeight="1">
      <c r="A36" s="1417" t="s">
        <v>1187</v>
      </c>
      <c r="B36" s="1418" t="s">
        <v>703</v>
      </c>
      <c r="C36" s="1419" t="s">
        <v>29</v>
      </c>
      <c r="D36" s="1426"/>
      <c r="E36" s="1426"/>
      <c r="F36" s="1429">
        <f t="shared" si="3"/>
        <v>0</v>
      </c>
      <c r="G36" s="1427"/>
      <c r="H36" s="1427"/>
      <c r="I36" s="1429">
        <f t="shared" si="4"/>
        <v>0</v>
      </c>
      <c r="J36" s="1429">
        <f t="shared" si="1"/>
        <v>0</v>
      </c>
      <c r="K36" s="1477">
        <f t="shared" si="5"/>
        <v>0</v>
      </c>
    </row>
    <row r="37" spans="1:11" ht="19.5" customHeight="1">
      <c r="A37" s="1417" t="s">
        <v>1188</v>
      </c>
      <c r="B37" s="1418" t="s">
        <v>705</v>
      </c>
      <c r="C37" s="1419" t="s">
        <v>29</v>
      </c>
      <c r="D37" s="1426"/>
      <c r="E37" s="1426"/>
      <c r="F37" s="1429">
        <f t="shared" si="3"/>
        <v>0</v>
      </c>
      <c r="G37" s="1427"/>
      <c r="H37" s="1427"/>
      <c r="I37" s="1429">
        <f t="shared" si="4"/>
        <v>0</v>
      </c>
      <c r="J37" s="1429">
        <f t="shared" si="1"/>
        <v>0</v>
      </c>
      <c r="K37" s="1477">
        <f t="shared" si="5"/>
        <v>0</v>
      </c>
    </row>
    <row r="38" spans="1:11" ht="30.75" customHeight="1">
      <c r="A38" s="1417" t="s">
        <v>1189</v>
      </c>
      <c r="B38" s="1418" t="s">
        <v>707</v>
      </c>
      <c r="C38" s="1419" t="s">
        <v>29</v>
      </c>
      <c r="D38" s="1429"/>
      <c r="E38" s="1429">
        <v>82.3</v>
      </c>
      <c r="F38" s="1429">
        <f t="shared" si="3"/>
        <v>0</v>
      </c>
      <c r="G38" s="1430"/>
      <c r="H38" s="1430"/>
      <c r="I38" s="1429">
        <f t="shared" si="4"/>
        <v>0</v>
      </c>
      <c r="J38" s="1429">
        <f t="shared" si="1"/>
        <v>0</v>
      </c>
      <c r="K38" s="1429">
        <v>0</v>
      </c>
    </row>
    <row r="39" spans="1:11">
      <c r="A39" s="1417" t="s">
        <v>1190</v>
      </c>
      <c r="B39" s="1418" t="s">
        <v>710</v>
      </c>
      <c r="C39" s="1419" t="s">
        <v>29</v>
      </c>
      <c r="D39" s="1420"/>
      <c r="E39" s="1429">
        <v>0</v>
      </c>
      <c r="F39" s="1429">
        <f t="shared" si="3"/>
        <v>0</v>
      </c>
      <c r="G39" s="1421"/>
      <c r="H39" s="1421"/>
      <c r="I39" s="1429">
        <f t="shared" si="4"/>
        <v>0</v>
      </c>
      <c r="J39" s="1429">
        <f t="shared" si="1"/>
        <v>0</v>
      </c>
      <c r="K39" s="1477">
        <f t="shared" si="5"/>
        <v>0</v>
      </c>
    </row>
    <row r="40" spans="1:11">
      <c r="A40" s="1417" t="s">
        <v>1191</v>
      </c>
      <c r="B40" s="1418" t="s">
        <v>1192</v>
      </c>
      <c r="C40" s="1419" t="s">
        <v>29</v>
      </c>
      <c r="D40" s="1426">
        <f>'НВВ на содержание'!D27</f>
        <v>50</v>
      </c>
      <c r="E40" s="1426">
        <v>454.8</v>
      </c>
      <c r="F40" s="1420">
        <f t="shared" si="3"/>
        <v>52.300000000000004</v>
      </c>
      <c r="G40" s="1427"/>
      <c r="H40" s="1427"/>
      <c r="I40" s="1478">
        <f>F40+1.1</f>
        <v>53.400000000000006</v>
      </c>
      <c r="J40" s="1420">
        <f t="shared" si="1"/>
        <v>55.50930000000001</v>
      </c>
      <c r="K40" s="1422">
        <f>I40*K12</f>
        <v>55.72076400000001</v>
      </c>
    </row>
    <row r="41" spans="1:11">
      <c r="A41" s="1412" t="s">
        <v>156</v>
      </c>
      <c r="B41" s="1431" t="s">
        <v>712</v>
      </c>
      <c r="C41" s="1414" t="s">
        <v>29</v>
      </c>
      <c r="D41" s="1432">
        <f>SUM(D42:D44)</f>
        <v>56.24</v>
      </c>
      <c r="E41" s="1432">
        <f>SUM(E42:E44)</f>
        <v>113.42</v>
      </c>
      <c r="F41" s="1433">
        <f t="shared" ref="F41:K41" si="6">SUM(F42:F44)</f>
        <v>58.827040000000004</v>
      </c>
      <c r="G41" s="1434">
        <f>SUM(G42:G44)</f>
        <v>0</v>
      </c>
      <c r="H41" s="1434">
        <f t="shared" si="6"/>
        <v>0</v>
      </c>
      <c r="I41" s="1433">
        <f t="shared" si="6"/>
        <v>61.441901928</v>
      </c>
      <c r="J41" s="1433">
        <f t="shared" si="6"/>
        <v>63.868857054156003</v>
      </c>
      <c r="K41" s="1433">
        <f t="shared" si="6"/>
        <v>64.112166985790878</v>
      </c>
    </row>
    <row r="42" spans="1:11">
      <c r="A42" s="1417" t="s">
        <v>111</v>
      </c>
      <c r="B42" s="1418" t="s">
        <v>714</v>
      </c>
      <c r="C42" s="1419" t="s">
        <v>29</v>
      </c>
      <c r="D42" s="1429">
        <v>0</v>
      </c>
      <c r="E42" s="1429"/>
      <c r="F42" s="1429">
        <f>D42*$F$12</f>
        <v>0</v>
      </c>
      <c r="G42" s="1430">
        <v>0</v>
      </c>
      <c r="H42" s="1430"/>
      <c r="I42" s="1429"/>
      <c r="J42" s="1429"/>
      <c r="K42" s="1429"/>
    </row>
    <row r="43" spans="1:11">
      <c r="A43" s="1417" t="s">
        <v>112</v>
      </c>
      <c r="B43" s="1418" t="s">
        <v>716</v>
      </c>
      <c r="C43" s="1419" t="s">
        <v>29</v>
      </c>
      <c r="D43" s="1429">
        <f>'НВВ на содержание'!D30</f>
        <v>56.24</v>
      </c>
      <c r="E43" s="1429">
        <v>113.42</v>
      </c>
      <c r="F43" s="1420">
        <f>D43*$F$12</f>
        <v>58.827040000000004</v>
      </c>
      <c r="G43" s="1435"/>
      <c r="H43" s="1435"/>
      <c r="I43" s="1420">
        <f>F43*$I$12</f>
        <v>61.441901928</v>
      </c>
      <c r="J43" s="1420">
        <f>I43*$J$12</f>
        <v>63.868857054156003</v>
      </c>
      <c r="K43" s="1422">
        <f>I43*K12</f>
        <v>64.112166985790878</v>
      </c>
    </row>
    <row r="44" spans="1:11" ht="21.75" customHeight="1">
      <c r="A44" s="1417" t="s">
        <v>1193</v>
      </c>
      <c r="B44" s="1418" t="s">
        <v>718</v>
      </c>
      <c r="C44" s="1419" t="s">
        <v>29</v>
      </c>
      <c r="D44" s="1429"/>
      <c r="E44" s="1429"/>
      <c r="F44" s="1429">
        <f>D44*$F$12</f>
        <v>0</v>
      </c>
      <c r="G44" s="1430">
        <v>0</v>
      </c>
      <c r="H44" s="1430">
        <v>0</v>
      </c>
      <c r="I44" s="1429">
        <f>F44*$I$12</f>
        <v>0</v>
      </c>
      <c r="J44" s="1429">
        <f>F44</f>
        <v>0</v>
      </c>
      <c r="K44" s="1477">
        <f>I44*$K$12</f>
        <v>0</v>
      </c>
    </row>
    <row r="45" spans="1:11" ht="28.5" customHeight="1">
      <c r="A45" s="1412"/>
      <c r="B45" s="1436" t="s">
        <v>1194</v>
      </c>
      <c r="C45" s="1414" t="s">
        <v>29</v>
      </c>
      <c r="D45" s="1437">
        <f t="shared" ref="D45:K45" si="7">D23+D26+D27+D41</f>
        <v>1575.74</v>
      </c>
      <c r="E45" s="1437">
        <f>E23+E26+E27+E41</f>
        <v>6029.430765694462</v>
      </c>
      <c r="F45" s="1415">
        <f t="shared" si="7"/>
        <v>1658.6925399999998</v>
      </c>
      <c r="G45" s="1416">
        <f>G23+G26+G27+G41</f>
        <v>0</v>
      </c>
      <c r="H45" s="1416">
        <f t="shared" si="7"/>
        <v>0</v>
      </c>
      <c r="I45" s="1415">
        <f t="shared" si="7"/>
        <v>1731.1966884030001</v>
      </c>
      <c r="J45" s="1415">
        <f t="shared" si="7"/>
        <v>1799.5789575949184</v>
      </c>
      <c r="K45" s="1415" t="e">
        <f t="shared" si="7"/>
        <v>#REF!</v>
      </c>
    </row>
    <row r="46" spans="1:11" ht="15.6">
      <c r="A46" s="2029" t="s">
        <v>1195</v>
      </c>
      <c r="B46" s="2030"/>
      <c r="C46" s="2030"/>
      <c r="D46" s="1438"/>
      <c r="E46" s="1438"/>
      <c r="F46" s="1438"/>
      <c r="G46" s="1438"/>
      <c r="H46" s="1438"/>
      <c r="I46" s="1438"/>
      <c r="J46" s="1438"/>
      <c r="K46" s="1439"/>
    </row>
    <row r="47" spans="1:11">
      <c r="A47" s="1408"/>
      <c r="B47" s="1408"/>
      <c r="C47" s="1408"/>
      <c r="D47" s="1408"/>
      <c r="E47" s="1408"/>
      <c r="F47" s="1408"/>
      <c r="G47" s="1408"/>
      <c r="H47" s="1408"/>
      <c r="I47" s="1408"/>
      <c r="J47" s="1408"/>
      <c r="K47" s="1408"/>
    </row>
    <row r="48" spans="1:11" ht="20.25" customHeight="1">
      <c r="A48" s="1412" t="s">
        <v>9</v>
      </c>
      <c r="B48" s="1440" t="s">
        <v>720</v>
      </c>
      <c r="C48" s="1414" t="s">
        <v>29</v>
      </c>
      <c r="D48" s="1429">
        <v>0</v>
      </c>
      <c r="E48" s="1429">
        <v>0</v>
      </c>
      <c r="F48" s="1429">
        <v>0</v>
      </c>
      <c r="G48" s="1430">
        <v>0</v>
      </c>
      <c r="H48" s="1430">
        <v>0</v>
      </c>
      <c r="I48" s="1429">
        <v>0</v>
      </c>
      <c r="J48" s="1429">
        <v>0</v>
      </c>
      <c r="K48" s="1429">
        <v>0</v>
      </c>
    </row>
    <row r="49" spans="1:14" ht="20.25" customHeight="1">
      <c r="A49" s="1412" t="s">
        <v>10</v>
      </c>
      <c r="B49" s="1440" t="s">
        <v>721</v>
      </c>
      <c r="C49" s="1414" t="s">
        <v>29</v>
      </c>
      <c r="D49" s="1429">
        <v>0</v>
      </c>
      <c r="E49" s="1429">
        <v>0</v>
      </c>
      <c r="F49" s="1429">
        <v>0</v>
      </c>
      <c r="G49" s="1430">
        <v>0</v>
      </c>
      <c r="H49" s="1430">
        <v>0</v>
      </c>
      <c r="I49" s="1429">
        <v>0</v>
      </c>
      <c r="J49" s="1429">
        <v>0</v>
      </c>
      <c r="K49" s="1429">
        <v>0</v>
      </c>
    </row>
    <row r="50" spans="1:14" ht="26.25" customHeight="1">
      <c r="A50" s="1412" t="s">
        <v>11</v>
      </c>
      <c r="B50" s="1440" t="s">
        <v>194</v>
      </c>
      <c r="C50" s="1414" t="s">
        <v>29</v>
      </c>
      <c r="D50" s="1429">
        <v>0</v>
      </c>
      <c r="E50" s="1429">
        <v>0</v>
      </c>
      <c r="F50" s="1429">
        <v>0</v>
      </c>
      <c r="G50" s="1430">
        <v>0</v>
      </c>
      <c r="H50" s="1430">
        <v>0</v>
      </c>
      <c r="I50" s="1429">
        <v>0</v>
      </c>
      <c r="J50" s="1429">
        <v>0</v>
      </c>
      <c r="K50" s="1429">
        <v>0</v>
      </c>
    </row>
    <row r="51" spans="1:14" ht="24.75" customHeight="1">
      <c r="A51" s="1412" t="s">
        <v>12</v>
      </c>
      <c r="B51" s="1440" t="s">
        <v>723</v>
      </c>
      <c r="C51" s="1414" t="s">
        <v>29</v>
      </c>
      <c r="D51" s="1432">
        <v>0</v>
      </c>
      <c r="E51" s="1432">
        <v>0</v>
      </c>
      <c r="F51" s="1432">
        <f>D51*$F$12</f>
        <v>0</v>
      </c>
      <c r="G51" s="1441"/>
      <c r="H51" s="1441">
        <f>0</f>
        <v>0</v>
      </c>
      <c r="I51" s="1432">
        <f>F51*$I$12</f>
        <v>0</v>
      </c>
      <c r="J51" s="1432">
        <v>0</v>
      </c>
      <c r="K51" s="1432">
        <v>0</v>
      </c>
    </row>
    <row r="52" spans="1:14" ht="23.25" customHeight="1">
      <c r="A52" s="1412" t="s">
        <v>13</v>
      </c>
      <c r="B52" s="1445" t="s">
        <v>725</v>
      </c>
      <c r="C52" s="1414" t="s">
        <v>29</v>
      </c>
      <c r="D52" s="1432" t="e">
        <f>SUM(D53:D55)</f>
        <v>#REF!</v>
      </c>
      <c r="E52" s="1432">
        <f>SUM(E53:E55)</f>
        <v>25.276828119358203</v>
      </c>
      <c r="F52" s="1432" t="e">
        <f t="shared" ref="F52:K52" si="8">SUM(F53:F55)</f>
        <v>#REF!</v>
      </c>
      <c r="G52" s="1441">
        <f>SUM(G53:G55)</f>
        <v>0</v>
      </c>
      <c r="H52" s="1441">
        <f t="shared" si="8"/>
        <v>0</v>
      </c>
      <c r="I52" s="1432" t="e">
        <f t="shared" si="8"/>
        <v>#REF!</v>
      </c>
      <c r="J52" s="1432" t="e">
        <f t="shared" si="8"/>
        <v>#REF!</v>
      </c>
      <c r="K52" s="1432" t="e">
        <f t="shared" si="8"/>
        <v>#REF!</v>
      </c>
    </row>
    <row r="53" spans="1:14" ht="15.75" customHeight="1">
      <c r="A53" s="1417" t="s">
        <v>1196</v>
      </c>
      <c r="B53" s="1418" t="s">
        <v>727</v>
      </c>
      <c r="C53" s="1419" t="s">
        <v>29</v>
      </c>
      <c r="D53" s="1429"/>
      <c r="E53" s="1429"/>
      <c r="F53" s="1429">
        <f>D53*$F$12</f>
        <v>0</v>
      </c>
      <c r="G53" s="1430"/>
      <c r="H53" s="1430"/>
      <c r="I53" s="1429"/>
      <c r="J53" s="1429"/>
      <c r="K53" s="1429"/>
    </row>
    <row r="54" spans="1:14" ht="19.5" customHeight="1">
      <c r="A54" s="1417" t="s">
        <v>1197</v>
      </c>
      <c r="B54" s="1418" t="s">
        <v>729</v>
      </c>
      <c r="C54" s="1419" t="s">
        <v>29</v>
      </c>
      <c r="D54" s="1429" t="e">
        <f>'НВВ на содержание'!D40</f>
        <v>#REF!</v>
      </c>
      <c r="E54" s="1429">
        <v>25.276828119358203</v>
      </c>
      <c r="F54" s="1429" t="e">
        <f>'НВВ на содержание'!E40</f>
        <v>#REF!</v>
      </c>
      <c r="G54" s="1429"/>
      <c r="H54" s="1429">
        <v>0</v>
      </c>
      <c r="I54" s="1429" t="e">
        <f>F54</f>
        <v>#REF!</v>
      </c>
      <c r="J54" s="1442" t="e">
        <f>I54</f>
        <v>#REF!</v>
      </c>
      <c r="K54" s="1443" t="e">
        <f>F54</f>
        <v>#REF!</v>
      </c>
    </row>
    <row r="55" spans="1:14" ht="22.5" customHeight="1">
      <c r="A55" s="1417" t="s">
        <v>1198</v>
      </c>
      <c r="B55" s="1418" t="s">
        <v>731</v>
      </c>
      <c r="C55" s="1419" t="s">
        <v>29</v>
      </c>
      <c r="D55" s="1446"/>
      <c r="E55" s="1446"/>
      <c r="F55" s="1429">
        <f>D55*$F$12</f>
        <v>0</v>
      </c>
      <c r="G55" s="1435"/>
      <c r="H55" s="1435"/>
      <c r="I55" s="1429">
        <f>F55</f>
        <v>0</v>
      </c>
      <c r="J55" s="1429">
        <f>F55</f>
        <v>0</v>
      </c>
      <c r="K55" s="1447">
        <f>J55</f>
        <v>0</v>
      </c>
      <c r="N55" s="1481">
        <v>1.6500000000000001E-2</v>
      </c>
    </row>
    <row r="56" spans="1:14" ht="35.25" customHeight="1">
      <c r="A56" s="1412" t="s">
        <v>14</v>
      </c>
      <c r="B56" s="1440" t="s">
        <v>1214</v>
      </c>
      <c r="C56" s="1414" t="s">
        <v>29</v>
      </c>
      <c r="D56" s="1446">
        <f>'НВВ на содержание'!D42</f>
        <v>311.10000000000002</v>
      </c>
      <c r="E56" s="1446">
        <f>ROUND((E26*0.357),1)</f>
        <v>1528.2</v>
      </c>
      <c r="F56" s="1448">
        <f>ROUND((F26*0.357),1)</f>
        <v>450.5</v>
      </c>
      <c r="G56" s="1448">
        <f>ROUND((G26*0.357),1)</f>
        <v>0</v>
      </c>
      <c r="H56" s="1448">
        <f>ROUND((H26*0.357),1)</f>
        <v>0</v>
      </c>
      <c r="I56" s="1474">
        <f>F56</f>
        <v>450.5</v>
      </c>
      <c r="J56" s="1474">
        <f>I56</f>
        <v>450.5</v>
      </c>
      <c r="K56" s="1480" t="e">
        <f>ROUND(($K$26*0.3165),1)</f>
        <v>#REF!</v>
      </c>
      <c r="N56" s="1480" t="e">
        <f>ROUND(($K$26*0.3165),1)</f>
        <v>#REF!</v>
      </c>
    </row>
    <row r="57" spans="1:14" ht="18.75" customHeight="1">
      <c r="A57" s="1412" t="s">
        <v>15</v>
      </c>
      <c r="B57" s="1440" t="s">
        <v>740</v>
      </c>
      <c r="C57" s="1414" t="s">
        <v>29</v>
      </c>
      <c r="D57" s="1446"/>
      <c r="E57" s="1446"/>
      <c r="F57" s="1446"/>
      <c r="G57" s="1435"/>
      <c r="H57" s="1435"/>
      <c r="I57" s="1446"/>
      <c r="J57" s="1446"/>
      <c r="K57" s="1446"/>
    </row>
    <row r="58" spans="1:14" ht="18.75" customHeight="1">
      <c r="A58" s="1412" t="s">
        <v>16</v>
      </c>
      <c r="B58" s="1440" t="s">
        <v>743</v>
      </c>
      <c r="C58" s="1414" t="s">
        <v>29</v>
      </c>
      <c r="D58" s="1429">
        <f t="shared" ref="D58:J58" si="9">(D41+D61)/0.8*0.2</f>
        <v>14.06</v>
      </c>
      <c r="E58" s="1429">
        <v>28.355000000000004</v>
      </c>
      <c r="F58" s="1429">
        <f t="shared" si="9"/>
        <v>14.706760000000001</v>
      </c>
      <c r="G58" s="1429">
        <f t="shared" si="9"/>
        <v>0</v>
      </c>
      <c r="H58" s="1429">
        <f t="shared" si="9"/>
        <v>0</v>
      </c>
      <c r="I58" s="1429">
        <f t="shared" si="9"/>
        <v>15.360475481999998</v>
      </c>
      <c r="J58" s="1429">
        <f t="shared" si="9"/>
        <v>15.967214263539001</v>
      </c>
      <c r="K58" s="1443">
        <f>ROUND(((K41+K61)/0.8*0.2),1)</f>
        <v>19.600000000000001</v>
      </c>
    </row>
    <row r="59" spans="1:14" ht="35.25" customHeight="1">
      <c r="A59" s="1412" t="s">
        <v>17</v>
      </c>
      <c r="B59" s="1440" t="s">
        <v>1269</v>
      </c>
      <c r="C59" s="1414" t="s">
        <v>29</v>
      </c>
      <c r="D59" s="1446"/>
      <c r="E59" s="1446"/>
      <c r="F59" s="1446"/>
      <c r="G59" s="1435"/>
      <c r="H59" s="1435"/>
      <c r="I59" s="1446"/>
      <c r="J59" s="1446"/>
      <c r="K59" s="1446"/>
    </row>
    <row r="60" spans="1:14" ht="26.25" customHeight="1">
      <c r="A60" s="1412" t="s">
        <v>18</v>
      </c>
      <c r="B60" s="1440" t="s">
        <v>736</v>
      </c>
      <c r="C60" s="1414" t="s">
        <v>29</v>
      </c>
      <c r="D60" s="1446">
        <f>'НВВ на содержание'!D43</f>
        <v>80.599999999999994</v>
      </c>
      <c r="E60" s="1446">
        <v>86.817156827151962</v>
      </c>
      <c r="F60" s="1446">
        <f>D60</f>
        <v>80.599999999999994</v>
      </c>
      <c r="G60" s="1449"/>
      <c r="H60" s="1449"/>
      <c r="I60" s="1446">
        <f>$F$60</f>
        <v>80.599999999999994</v>
      </c>
      <c r="J60" s="1446">
        <f>$F$60</f>
        <v>80.599999999999994</v>
      </c>
      <c r="K60" s="1443">
        <f>J60</f>
        <v>80.599999999999994</v>
      </c>
    </row>
    <row r="61" spans="1:14" ht="25.5" customHeight="1">
      <c r="A61" s="1412" t="s">
        <v>737</v>
      </c>
      <c r="B61" s="1440" t="s">
        <v>1199</v>
      </c>
      <c r="C61" s="1414" t="s">
        <v>29</v>
      </c>
      <c r="D61" s="1446"/>
      <c r="E61" s="1446"/>
      <c r="F61" s="1446"/>
      <c r="G61" s="1435"/>
      <c r="H61" s="1435"/>
      <c r="I61" s="1446"/>
      <c r="J61" s="1446"/>
      <c r="K61" s="1446">
        <v>14.4</v>
      </c>
    </row>
    <row r="62" spans="1:14" ht="30" customHeight="1">
      <c r="A62" s="1412"/>
      <c r="B62" s="1436" t="s">
        <v>1200</v>
      </c>
      <c r="C62" s="1436" t="s">
        <v>29</v>
      </c>
      <c r="D62" s="1433" t="e">
        <f t="shared" ref="D62:K62" si="10">SUM(D48:D52,D56:D61)</f>
        <v>#REF!</v>
      </c>
      <c r="E62" s="1433">
        <f>SUM(E48:E52,E56:E61)</f>
        <v>1668.6489849465102</v>
      </c>
      <c r="F62" s="1434" t="e">
        <f t="shared" si="10"/>
        <v>#REF!</v>
      </c>
      <c r="G62" s="1434">
        <f>SUM(G48:G52,G56:G61)</f>
        <v>0</v>
      </c>
      <c r="H62" s="1434">
        <f t="shared" si="10"/>
        <v>0</v>
      </c>
      <c r="I62" s="1434" t="e">
        <f t="shared" si="10"/>
        <v>#REF!</v>
      </c>
      <c r="J62" s="1433" t="e">
        <f t="shared" si="10"/>
        <v>#REF!</v>
      </c>
      <c r="K62" s="1433" t="e">
        <f t="shared" si="10"/>
        <v>#REF!</v>
      </c>
      <c r="M62" s="1444"/>
    </row>
    <row r="64" spans="1:14">
      <c r="A64" s="1450" t="s">
        <v>1268</v>
      </c>
      <c r="B64" s="1451"/>
      <c r="C64" s="1451"/>
      <c r="D64" s="1451"/>
      <c r="E64" s="1451"/>
      <c r="F64" s="1452"/>
      <c r="G64" s="1452"/>
      <c r="H64" s="1452"/>
      <c r="I64" s="1452"/>
      <c r="J64" s="1453"/>
      <c r="K64" s="1452"/>
    </row>
    <row r="65" spans="1:17" ht="56.25" customHeight="1">
      <c r="A65" s="1412">
        <v>3</v>
      </c>
      <c r="B65" s="1440" t="s">
        <v>1268</v>
      </c>
      <c r="C65" s="1414" t="s">
        <v>29</v>
      </c>
      <c r="D65" s="1446"/>
      <c r="E65" s="1446"/>
      <c r="F65" s="1446">
        <v>515</v>
      </c>
      <c r="G65" s="1446"/>
      <c r="H65" s="1446"/>
      <c r="I65" s="1446"/>
      <c r="J65" s="1446"/>
      <c r="K65" s="1446">
        <v>3493</v>
      </c>
    </row>
    <row r="66" spans="1:17">
      <c r="A66" s="1408"/>
      <c r="B66" s="1408"/>
      <c r="C66" s="1408"/>
      <c r="D66" s="1408"/>
      <c r="E66" s="1408"/>
      <c r="F66" s="1408"/>
      <c r="G66" s="1408"/>
      <c r="H66" s="1408"/>
      <c r="I66" s="1408"/>
      <c r="J66" s="1408"/>
      <c r="K66" s="1408"/>
    </row>
    <row r="67" spans="1:17">
      <c r="A67" s="1450" t="s">
        <v>1201</v>
      </c>
      <c r="B67" s="1451"/>
      <c r="C67" s="1451"/>
      <c r="D67" s="1451"/>
      <c r="E67" s="1451"/>
      <c r="F67" s="1452"/>
      <c r="G67" s="1452"/>
      <c r="H67" s="1452"/>
      <c r="I67" s="1452"/>
      <c r="J67" s="1453"/>
      <c r="K67" s="1452"/>
    </row>
    <row r="68" spans="1:17" ht="58.5" customHeight="1">
      <c r="A68" s="1412">
        <v>4</v>
      </c>
      <c r="B68" s="1454" t="s">
        <v>1202</v>
      </c>
      <c r="C68" s="1414" t="s">
        <v>29</v>
      </c>
      <c r="D68" s="1446"/>
      <c r="E68" s="431"/>
      <c r="F68" s="431">
        <v>0</v>
      </c>
      <c r="G68" s="1446"/>
      <c r="H68" s="1446"/>
      <c r="I68" s="431"/>
      <c r="J68" s="1446"/>
      <c r="K68" s="1455" t="e">
        <f>F71*F16*F13%</f>
        <v>#REF!</v>
      </c>
    </row>
    <row r="69" spans="1:17">
      <c r="A69" s="1408"/>
      <c r="B69" s="1408"/>
      <c r="C69" s="1408"/>
      <c r="D69" s="1408"/>
      <c r="E69" s="1408"/>
      <c r="F69" s="1408"/>
      <c r="G69" s="1408"/>
      <c r="H69" s="1408"/>
      <c r="I69" s="1408"/>
      <c r="J69" s="1408"/>
      <c r="K69" s="1408"/>
    </row>
    <row r="70" spans="1:17">
      <c r="A70" s="1450" t="s">
        <v>1203</v>
      </c>
      <c r="B70" s="1451"/>
      <c r="C70" s="1451"/>
      <c r="D70" s="1451"/>
      <c r="E70" s="1451"/>
      <c r="F70" s="1451"/>
      <c r="G70" s="1451"/>
      <c r="H70" s="1451"/>
      <c r="I70" s="1451"/>
      <c r="J70" s="1456"/>
      <c r="K70" s="1451"/>
      <c r="M70" t="s">
        <v>1213</v>
      </c>
      <c r="N70" s="1416"/>
      <c r="O70" s="1416"/>
      <c r="P70" s="1416"/>
      <c r="Q70" s="1416"/>
    </row>
    <row r="71" spans="1:17" ht="41.4">
      <c r="A71" s="1412">
        <v>5</v>
      </c>
      <c r="B71" s="1436" t="s">
        <v>1204</v>
      </c>
      <c r="C71" s="1414" t="s">
        <v>29</v>
      </c>
      <c r="D71" s="1416" t="e">
        <f t="shared" ref="D71:J71" si="11">D45+D62+D65</f>
        <v>#REF!</v>
      </c>
      <c r="E71" s="1416">
        <f>E45+E62+E65</f>
        <v>7698.0797506409726</v>
      </c>
      <c r="F71" s="1416" t="e">
        <f t="shared" si="11"/>
        <v>#REF!</v>
      </c>
      <c r="G71" s="1416">
        <f t="shared" si="11"/>
        <v>0</v>
      </c>
      <c r="H71" s="1416">
        <f t="shared" si="11"/>
        <v>0</v>
      </c>
      <c r="I71" s="1423" t="e">
        <f t="shared" si="11"/>
        <v>#REF!</v>
      </c>
      <c r="J71" s="1423" t="e">
        <f t="shared" si="11"/>
        <v>#REF!</v>
      </c>
      <c r="K71" s="1416" t="e">
        <f>K45+K62+K65+K68</f>
        <v>#REF!</v>
      </c>
      <c r="M71" s="1416">
        <v>11371.787699723676</v>
      </c>
      <c r="N71" s="1416"/>
      <c r="O71" s="1416"/>
      <c r="P71" s="1416"/>
      <c r="Q71" s="1416"/>
    </row>
    <row r="73" spans="1:17">
      <c r="A73" s="1457"/>
      <c r="B73" s="1458"/>
      <c r="C73" s="1459"/>
      <c r="D73" s="1459"/>
      <c r="E73" s="1459"/>
      <c r="F73" s="1459"/>
      <c r="I73" s="1459"/>
    </row>
    <row r="77" spans="1:17" s="1471" customFormat="1" ht="23.25" customHeight="1">
      <c r="A77" s="1467" t="s">
        <v>632</v>
      </c>
      <c r="B77" s="1467"/>
      <c r="C77" s="1468"/>
      <c r="D77" s="1469"/>
      <c r="E77" s="1469"/>
      <c r="F77" s="1469"/>
      <c r="G77" s="1470"/>
      <c r="H77" s="1469"/>
      <c r="I77" s="1469"/>
      <c r="J77" s="1469"/>
      <c r="K77" s="1469"/>
    </row>
    <row r="78" spans="1:17" s="1471" customFormat="1" ht="15" customHeight="1">
      <c r="A78" s="1467" t="s">
        <v>662</v>
      </c>
      <c r="B78" s="1469"/>
      <c r="C78" s="1468"/>
      <c r="D78" s="1469"/>
      <c r="E78" s="1472"/>
      <c r="F78" s="1472" t="s">
        <v>634</v>
      </c>
      <c r="G78" s="1473"/>
      <c r="H78" s="1469"/>
      <c r="I78" s="1472"/>
      <c r="J78" s="1469"/>
      <c r="K78" s="1469"/>
    </row>
    <row r="82" spans="2:2">
      <c r="B82" s="1408"/>
    </row>
  </sheetData>
  <mergeCells count="3">
    <mergeCell ref="A3:C3"/>
    <mergeCell ref="A18:C18"/>
    <mergeCell ref="A46:C46"/>
  </mergeCells>
  <dataValidations count="1">
    <dataValidation type="decimal" allowBlank="1" showInputMessage="1" showErrorMessage="1" errorTitle="Внимание" error="Допускается ввод только действительных чисел!" sqref="K8 I11:K11 H8:H9 E11:F11 I7:J9 E7:G9 G11:G16 D7:D16">
      <formula1>-9.99999999999999E+23</formula1>
      <formula2>9.99999999999999E+23</formula2>
    </dataValidation>
  </dataValidations>
  <printOptions horizontalCentered="1"/>
  <pageMargins left="0.19685039370078741" right="0.19685039370078741" top="0.39370078740157483" bottom="0.11811023622047245" header="0.31496062992125984" footer="3.937007874015748E-2"/>
  <pageSetup paperSize="9" scale="64" orientation="landscape" horizontalDpi="300" verticalDpi="300" r:id="rId1"/>
  <headerFooter>
    <oddFooter>&amp;R&amp;P</oddFooter>
  </headerFooter>
  <rowBreaks count="1" manualBreakCount="1">
    <brk id="38" max="13" man="1"/>
  </rowBreaks>
  <colBreaks count="1" manualBreakCount="1">
    <brk id="11" max="1048575" man="1"/>
  </col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66"/>
  </sheetPr>
  <dimension ref="A1:M56"/>
  <sheetViews>
    <sheetView zoomScaleNormal="100" workbookViewId="0">
      <pane xSplit="1" ySplit="12" topLeftCell="B34" activePane="bottomRight" state="frozenSplit"/>
      <selection activeCell="K8" sqref="K8"/>
      <selection pane="topRight" activeCell="K8" sqref="K8"/>
      <selection pane="bottomLeft" activeCell="K8" sqref="K8"/>
      <selection pane="bottomRight" activeCell="K8" sqref="K8"/>
    </sheetView>
  </sheetViews>
  <sheetFormatPr defaultRowHeight="13.2"/>
  <cols>
    <col min="1" max="1" width="10.88671875" style="4" customWidth="1"/>
    <col min="2" max="2" width="12" style="4" customWidth="1"/>
    <col min="3" max="3" width="11.5546875" style="4" customWidth="1"/>
    <col min="4" max="4" width="11.44140625" style="4" customWidth="1"/>
    <col min="5" max="5" width="10.5546875" style="4" customWidth="1"/>
    <col min="6" max="6" width="14.88671875" style="2" customWidth="1"/>
    <col min="7" max="7" width="16.109375" style="4" customWidth="1"/>
    <col min="8" max="11" width="9.109375" style="4"/>
    <col min="12" max="12" width="11.6640625" style="4" customWidth="1"/>
    <col min="13" max="256" width="9.109375" style="4"/>
    <col min="257" max="257" width="10.88671875" style="4" customWidth="1"/>
    <col min="258" max="258" width="12" style="4" customWidth="1"/>
    <col min="259" max="259" width="11.5546875" style="4" customWidth="1"/>
    <col min="260" max="260" width="11.44140625" style="4" customWidth="1"/>
    <col min="261" max="261" width="10.5546875" style="4" customWidth="1"/>
    <col min="262" max="262" width="14.88671875" style="4" customWidth="1"/>
    <col min="263" max="263" width="16.109375" style="4" customWidth="1"/>
    <col min="264" max="512" width="9.109375" style="4"/>
    <col min="513" max="513" width="10.88671875" style="4" customWidth="1"/>
    <col min="514" max="514" width="12" style="4" customWidth="1"/>
    <col min="515" max="515" width="11.5546875" style="4" customWidth="1"/>
    <col min="516" max="516" width="11.44140625" style="4" customWidth="1"/>
    <col min="517" max="517" width="10.5546875" style="4" customWidth="1"/>
    <col min="518" max="518" width="14.88671875" style="4" customWidth="1"/>
    <col min="519" max="519" width="16.109375" style="4" customWidth="1"/>
    <col min="520" max="768" width="9.109375" style="4"/>
    <col min="769" max="769" width="10.88671875" style="4" customWidth="1"/>
    <col min="770" max="770" width="12" style="4" customWidth="1"/>
    <col min="771" max="771" width="11.5546875" style="4" customWidth="1"/>
    <col min="772" max="772" width="11.44140625" style="4" customWidth="1"/>
    <col min="773" max="773" width="10.5546875" style="4" customWidth="1"/>
    <col min="774" max="774" width="14.88671875" style="4" customWidth="1"/>
    <col min="775" max="775" width="16.109375" style="4" customWidth="1"/>
    <col min="776" max="1024" width="9.109375" style="4"/>
    <col min="1025" max="1025" width="10.88671875" style="4" customWidth="1"/>
    <col min="1026" max="1026" width="12" style="4" customWidth="1"/>
    <col min="1027" max="1027" width="11.5546875" style="4" customWidth="1"/>
    <col min="1028" max="1028" width="11.44140625" style="4" customWidth="1"/>
    <col min="1029" max="1029" width="10.5546875" style="4" customWidth="1"/>
    <col min="1030" max="1030" width="14.88671875" style="4" customWidth="1"/>
    <col min="1031" max="1031" width="16.109375" style="4" customWidth="1"/>
    <col min="1032" max="1280" width="9.109375" style="4"/>
    <col min="1281" max="1281" width="10.88671875" style="4" customWidth="1"/>
    <col min="1282" max="1282" width="12" style="4" customWidth="1"/>
    <col min="1283" max="1283" width="11.5546875" style="4" customWidth="1"/>
    <col min="1284" max="1284" width="11.44140625" style="4" customWidth="1"/>
    <col min="1285" max="1285" width="10.5546875" style="4" customWidth="1"/>
    <col min="1286" max="1286" width="14.88671875" style="4" customWidth="1"/>
    <col min="1287" max="1287" width="16.109375" style="4" customWidth="1"/>
    <col min="1288" max="1536" width="9.109375" style="4"/>
    <col min="1537" max="1537" width="10.88671875" style="4" customWidth="1"/>
    <col min="1538" max="1538" width="12" style="4" customWidth="1"/>
    <col min="1539" max="1539" width="11.5546875" style="4" customWidth="1"/>
    <col min="1540" max="1540" width="11.44140625" style="4" customWidth="1"/>
    <col min="1541" max="1541" width="10.5546875" style="4" customWidth="1"/>
    <col min="1542" max="1542" width="14.88671875" style="4" customWidth="1"/>
    <col min="1543" max="1543" width="16.109375" style="4" customWidth="1"/>
    <col min="1544" max="1792" width="9.109375" style="4"/>
    <col min="1793" max="1793" width="10.88671875" style="4" customWidth="1"/>
    <col min="1794" max="1794" width="12" style="4" customWidth="1"/>
    <col min="1795" max="1795" width="11.5546875" style="4" customWidth="1"/>
    <col min="1796" max="1796" width="11.44140625" style="4" customWidth="1"/>
    <col min="1797" max="1797" width="10.5546875" style="4" customWidth="1"/>
    <col min="1798" max="1798" width="14.88671875" style="4" customWidth="1"/>
    <col min="1799" max="1799" width="16.109375" style="4" customWidth="1"/>
    <col min="1800" max="2048" width="9.109375" style="4"/>
    <col min="2049" max="2049" width="10.88671875" style="4" customWidth="1"/>
    <col min="2050" max="2050" width="12" style="4" customWidth="1"/>
    <col min="2051" max="2051" width="11.5546875" style="4" customWidth="1"/>
    <col min="2052" max="2052" width="11.44140625" style="4" customWidth="1"/>
    <col min="2053" max="2053" width="10.5546875" style="4" customWidth="1"/>
    <col min="2054" max="2054" width="14.88671875" style="4" customWidth="1"/>
    <col min="2055" max="2055" width="16.109375" style="4" customWidth="1"/>
    <col min="2056" max="2304" width="9.109375" style="4"/>
    <col min="2305" max="2305" width="10.88671875" style="4" customWidth="1"/>
    <col min="2306" max="2306" width="12" style="4" customWidth="1"/>
    <col min="2307" max="2307" width="11.5546875" style="4" customWidth="1"/>
    <col min="2308" max="2308" width="11.44140625" style="4" customWidth="1"/>
    <col min="2309" max="2309" width="10.5546875" style="4" customWidth="1"/>
    <col min="2310" max="2310" width="14.88671875" style="4" customWidth="1"/>
    <col min="2311" max="2311" width="16.109375" style="4" customWidth="1"/>
    <col min="2312" max="2560" width="9.109375" style="4"/>
    <col min="2561" max="2561" width="10.88671875" style="4" customWidth="1"/>
    <col min="2562" max="2562" width="12" style="4" customWidth="1"/>
    <col min="2563" max="2563" width="11.5546875" style="4" customWidth="1"/>
    <col min="2564" max="2564" width="11.44140625" style="4" customWidth="1"/>
    <col min="2565" max="2565" width="10.5546875" style="4" customWidth="1"/>
    <col min="2566" max="2566" width="14.88671875" style="4" customWidth="1"/>
    <col min="2567" max="2567" width="16.109375" style="4" customWidth="1"/>
    <col min="2568" max="2816" width="9.109375" style="4"/>
    <col min="2817" max="2817" width="10.88671875" style="4" customWidth="1"/>
    <col min="2818" max="2818" width="12" style="4" customWidth="1"/>
    <col min="2819" max="2819" width="11.5546875" style="4" customWidth="1"/>
    <col min="2820" max="2820" width="11.44140625" style="4" customWidth="1"/>
    <col min="2821" max="2821" width="10.5546875" style="4" customWidth="1"/>
    <col min="2822" max="2822" width="14.88671875" style="4" customWidth="1"/>
    <col min="2823" max="2823" width="16.109375" style="4" customWidth="1"/>
    <col min="2824" max="3072" width="9.109375" style="4"/>
    <col min="3073" max="3073" width="10.88671875" style="4" customWidth="1"/>
    <col min="3074" max="3074" width="12" style="4" customWidth="1"/>
    <col min="3075" max="3075" width="11.5546875" style="4" customWidth="1"/>
    <col min="3076" max="3076" width="11.44140625" style="4" customWidth="1"/>
    <col min="3077" max="3077" width="10.5546875" style="4" customWidth="1"/>
    <col min="3078" max="3078" width="14.88671875" style="4" customWidth="1"/>
    <col min="3079" max="3079" width="16.109375" style="4" customWidth="1"/>
    <col min="3080" max="3328" width="9.109375" style="4"/>
    <col min="3329" max="3329" width="10.88671875" style="4" customWidth="1"/>
    <col min="3330" max="3330" width="12" style="4" customWidth="1"/>
    <col min="3331" max="3331" width="11.5546875" style="4" customWidth="1"/>
    <col min="3332" max="3332" width="11.44140625" style="4" customWidth="1"/>
    <col min="3333" max="3333" width="10.5546875" style="4" customWidth="1"/>
    <col min="3334" max="3334" width="14.88671875" style="4" customWidth="1"/>
    <col min="3335" max="3335" width="16.109375" style="4" customWidth="1"/>
    <col min="3336" max="3584" width="9.109375" style="4"/>
    <col min="3585" max="3585" width="10.88671875" style="4" customWidth="1"/>
    <col min="3586" max="3586" width="12" style="4" customWidth="1"/>
    <col min="3587" max="3587" width="11.5546875" style="4" customWidth="1"/>
    <col min="3588" max="3588" width="11.44140625" style="4" customWidth="1"/>
    <col min="3589" max="3589" width="10.5546875" style="4" customWidth="1"/>
    <col min="3590" max="3590" width="14.88671875" style="4" customWidth="1"/>
    <col min="3591" max="3591" width="16.109375" style="4" customWidth="1"/>
    <col min="3592" max="3840" width="9.109375" style="4"/>
    <col min="3841" max="3841" width="10.88671875" style="4" customWidth="1"/>
    <col min="3842" max="3842" width="12" style="4" customWidth="1"/>
    <col min="3843" max="3843" width="11.5546875" style="4" customWidth="1"/>
    <col min="3844" max="3844" width="11.44140625" style="4" customWidth="1"/>
    <col min="3845" max="3845" width="10.5546875" style="4" customWidth="1"/>
    <col min="3846" max="3846" width="14.88671875" style="4" customWidth="1"/>
    <col min="3847" max="3847" width="16.109375" style="4" customWidth="1"/>
    <col min="3848" max="4096" width="9.109375" style="4"/>
    <col min="4097" max="4097" width="10.88671875" style="4" customWidth="1"/>
    <col min="4098" max="4098" width="12" style="4" customWidth="1"/>
    <col min="4099" max="4099" width="11.5546875" style="4" customWidth="1"/>
    <col min="4100" max="4100" width="11.44140625" style="4" customWidth="1"/>
    <col min="4101" max="4101" width="10.5546875" style="4" customWidth="1"/>
    <col min="4102" max="4102" width="14.88671875" style="4" customWidth="1"/>
    <col min="4103" max="4103" width="16.109375" style="4" customWidth="1"/>
    <col min="4104" max="4352" width="9.109375" style="4"/>
    <col min="4353" max="4353" width="10.88671875" style="4" customWidth="1"/>
    <col min="4354" max="4354" width="12" style="4" customWidth="1"/>
    <col min="4355" max="4355" width="11.5546875" style="4" customWidth="1"/>
    <col min="4356" max="4356" width="11.44140625" style="4" customWidth="1"/>
    <col min="4357" max="4357" width="10.5546875" style="4" customWidth="1"/>
    <col min="4358" max="4358" width="14.88671875" style="4" customWidth="1"/>
    <col min="4359" max="4359" width="16.109375" style="4" customWidth="1"/>
    <col min="4360" max="4608" width="9.109375" style="4"/>
    <col min="4609" max="4609" width="10.88671875" style="4" customWidth="1"/>
    <col min="4610" max="4610" width="12" style="4" customWidth="1"/>
    <col min="4611" max="4611" width="11.5546875" style="4" customWidth="1"/>
    <col min="4612" max="4612" width="11.44140625" style="4" customWidth="1"/>
    <col min="4613" max="4613" width="10.5546875" style="4" customWidth="1"/>
    <col min="4614" max="4614" width="14.88671875" style="4" customWidth="1"/>
    <col min="4615" max="4615" width="16.109375" style="4" customWidth="1"/>
    <col min="4616" max="4864" width="9.109375" style="4"/>
    <col min="4865" max="4865" width="10.88671875" style="4" customWidth="1"/>
    <col min="4866" max="4866" width="12" style="4" customWidth="1"/>
    <col min="4867" max="4867" width="11.5546875" style="4" customWidth="1"/>
    <col min="4868" max="4868" width="11.44140625" style="4" customWidth="1"/>
    <col min="4869" max="4869" width="10.5546875" style="4" customWidth="1"/>
    <col min="4870" max="4870" width="14.88671875" style="4" customWidth="1"/>
    <col min="4871" max="4871" width="16.109375" style="4" customWidth="1"/>
    <col min="4872" max="5120" width="9.109375" style="4"/>
    <col min="5121" max="5121" width="10.88671875" style="4" customWidth="1"/>
    <col min="5122" max="5122" width="12" style="4" customWidth="1"/>
    <col min="5123" max="5123" width="11.5546875" style="4" customWidth="1"/>
    <col min="5124" max="5124" width="11.44140625" style="4" customWidth="1"/>
    <col min="5125" max="5125" width="10.5546875" style="4" customWidth="1"/>
    <col min="5126" max="5126" width="14.88671875" style="4" customWidth="1"/>
    <col min="5127" max="5127" width="16.109375" style="4" customWidth="1"/>
    <col min="5128" max="5376" width="9.109375" style="4"/>
    <col min="5377" max="5377" width="10.88671875" style="4" customWidth="1"/>
    <col min="5378" max="5378" width="12" style="4" customWidth="1"/>
    <col min="5379" max="5379" width="11.5546875" style="4" customWidth="1"/>
    <col min="5380" max="5380" width="11.44140625" style="4" customWidth="1"/>
    <col min="5381" max="5381" width="10.5546875" style="4" customWidth="1"/>
    <col min="5382" max="5382" width="14.88671875" style="4" customWidth="1"/>
    <col min="5383" max="5383" width="16.109375" style="4" customWidth="1"/>
    <col min="5384" max="5632" width="9.109375" style="4"/>
    <col min="5633" max="5633" width="10.88671875" style="4" customWidth="1"/>
    <col min="5634" max="5634" width="12" style="4" customWidth="1"/>
    <col min="5635" max="5635" width="11.5546875" style="4" customWidth="1"/>
    <col min="5636" max="5636" width="11.44140625" style="4" customWidth="1"/>
    <col min="5637" max="5637" width="10.5546875" style="4" customWidth="1"/>
    <col min="5638" max="5638" width="14.88671875" style="4" customWidth="1"/>
    <col min="5639" max="5639" width="16.109375" style="4" customWidth="1"/>
    <col min="5640" max="5888" width="9.109375" style="4"/>
    <col min="5889" max="5889" width="10.88671875" style="4" customWidth="1"/>
    <col min="5890" max="5890" width="12" style="4" customWidth="1"/>
    <col min="5891" max="5891" width="11.5546875" style="4" customWidth="1"/>
    <col min="5892" max="5892" width="11.44140625" style="4" customWidth="1"/>
    <col min="5893" max="5893" width="10.5546875" style="4" customWidth="1"/>
    <col min="5894" max="5894" width="14.88671875" style="4" customWidth="1"/>
    <col min="5895" max="5895" width="16.109375" style="4" customWidth="1"/>
    <col min="5896" max="6144" width="9.109375" style="4"/>
    <col min="6145" max="6145" width="10.88671875" style="4" customWidth="1"/>
    <col min="6146" max="6146" width="12" style="4" customWidth="1"/>
    <col min="6147" max="6147" width="11.5546875" style="4" customWidth="1"/>
    <col min="6148" max="6148" width="11.44140625" style="4" customWidth="1"/>
    <col min="6149" max="6149" width="10.5546875" style="4" customWidth="1"/>
    <col min="6150" max="6150" width="14.88671875" style="4" customWidth="1"/>
    <col min="6151" max="6151" width="16.109375" style="4" customWidth="1"/>
    <col min="6152" max="6400" width="9.109375" style="4"/>
    <col min="6401" max="6401" width="10.88671875" style="4" customWidth="1"/>
    <col min="6402" max="6402" width="12" style="4" customWidth="1"/>
    <col min="6403" max="6403" width="11.5546875" style="4" customWidth="1"/>
    <col min="6404" max="6404" width="11.44140625" style="4" customWidth="1"/>
    <col min="6405" max="6405" width="10.5546875" style="4" customWidth="1"/>
    <col min="6406" max="6406" width="14.88671875" style="4" customWidth="1"/>
    <col min="6407" max="6407" width="16.109375" style="4" customWidth="1"/>
    <col min="6408" max="6656" width="9.109375" style="4"/>
    <col min="6657" max="6657" width="10.88671875" style="4" customWidth="1"/>
    <col min="6658" max="6658" width="12" style="4" customWidth="1"/>
    <col min="6659" max="6659" width="11.5546875" style="4" customWidth="1"/>
    <col min="6660" max="6660" width="11.44140625" style="4" customWidth="1"/>
    <col min="6661" max="6661" width="10.5546875" style="4" customWidth="1"/>
    <col min="6662" max="6662" width="14.88671875" style="4" customWidth="1"/>
    <col min="6663" max="6663" width="16.109375" style="4" customWidth="1"/>
    <col min="6664" max="6912" width="9.109375" style="4"/>
    <col min="6913" max="6913" width="10.88671875" style="4" customWidth="1"/>
    <col min="6914" max="6914" width="12" style="4" customWidth="1"/>
    <col min="6915" max="6915" width="11.5546875" style="4" customWidth="1"/>
    <col min="6916" max="6916" width="11.44140625" style="4" customWidth="1"/>
    <col min="6917" max="6917" width="10.5546875" style="4" customWidth="1"/>
    <col min="6918" max="6918" width="14.88671875" style="4" customWidth="1"/>
    <col min="6919" max="6919" width="16.109375" style="4" customWidth="1"/>
    <col min="6920" max="7168" width="9.109375" style="4"/>
    <col min="7169" max="7169" width="10.88671875" style="4" customWidth="1"/>
    <col min="7170" max="7170" width="12" style="4" customWidth="1"/>
    <col min="7171" max="7171" width="11.5546875" style="4" customWidth="1"/>
    <col min="7172" max="7172" width="11.44140625" style="4" customWidth="1"/>
    <col min="7173" max="7173" width="10.5546875" style="4" customWidth="1"/>
    <col min="7174" max="7174" width="14.88671875" style="4" customWidth="1"/>
    <col min="7175" max="7175" width="16.109375" style="4" customWidth="1"/>
    <col min="7176" max="7424" width="9.109375" style="4"/>
    <col min="7425" max="7425" width="10.88671875" style="4" customWidth="1"/>
    <col min="7426" max="7426" width="12" style="4" customWidth="1"/>
    <col min="7427" max="7427" width="11.5546875" style="4" customWidth="1"/>
    <col min="7428" max="7428" width="11.44140625" style="4" customWidth="1"/>
    <col min="7429" max="7429" width="10.5546875" style="4" customWidth="1"/>
    <col min="7430" max="7430" width="14.88671875" style="4" customWidth="1"/>
    <col min="7431" max="7431" width="16.109375" style="4" customWidth="1"/>
    <col min="7432" max="7680" width="9.109375" style="4"/>
    <col min="7681" max="7681" width="10.88671875" style="4" customWidth="1"/>
    <col min="7682" max="7682" width="12" style="4" customWidth="1"/>
    <col min="7683" max="7683" width="11.5546875" style="4" customWidth="1"/>
    <col min="7684" max="7684" width="11.44140625" style="4" customWidth="1"/>
    <col min="7685" max="7685" width="10.5546875" style="4" customWidth="1"/>
    <col min="7686" max="7686" width="14.88671875" style="4" customWidth="1"/>
    <col min="7687" max="7687" width="16.109375" style="4" customWidth="1"/>
    <col min="7688" max="7936" width="9.109375" style="4"/>
    <col min="7937" max="7937" width="10.88671875" style="4" customWidth="1"/>
    <col min="7938" max="7938" width="12" style="4" customWidth="1"/>
    <col min="7939" max="7939" width="11.5546875" style="4" customWidth="1"/>
    <col min="7940" max="7940" width="11.44140625" style="4" customWidth="1"/>
    <col min="7941" max="7941" width="10.5546875" style="4" customWidth="1"/>
    <col min="7942" max="7942" width="14.88671875" style="4" customWidth="1"/>
    <col min="7943" max="7943" width="16.109375" style="4" customWidth="1"/>
    <col min="7944" max="8192" width="9.109375" style="4"/>
    <col min="8193" max="8193" width="10.88671875" style="4" customWidth="1"/>
    <col min="8194" max="8194" width="12" style="4" customWidth="1"/>
    <col min="8195" max="8195" width="11.5546875" style="4" customWidth="1"/>
    <col min="8196" max="8196" width="11.44140625" style="4" customWidth="1"/>
    <col min="8197" max="8197" width="10.5546875" style="4" customWidth="1"/>
    <col min="8198" max="8198" width="14.88671875" style="4" customWidth="1"/>
    <col min="8199" max="8199" width="16.109375" style="4" customWidth="1"/>
    <col min="8200" max="8448" width="9.109375" style="4"/>
    <col min="8449" max="8449" width="10.88671875" style="4" customWidth="1"/>
    <col min="8450" max="8450" width="12" style="4" customWidth="1"/>
    <col min="8451" max="8451" width="11.5546875" style="4" customWidth="1"/>
    <col min="8452" max="8452" width="11.44140625" style="4" customWidth="1"/>
    <col min="8453" max="8453" width="10.5546875" style="4" customWidth="1"/>
    <col min="8454" max="8454" width="14.88671875" style="4" customWidth="1"/>
    <col min="8455" max="8455" width="16.109375" style="4" customWidth="1"/>
    <col min="8456" max="8704" width="9.109375" style="4"/>
    <col min="8705" max="8705" width="10.88671875" style="4" customWidth="1"/>
    <col min="8706" max="8706" width="12" style="4" customWidth="1"/>
    <col min="8707" max="8707" width="11.5546875" style="4" customWidth="1"/>
    <col min="8708" max="8708" width="11.44140625" style="4" customWidth="1"/>
    <col min="8709" max="8709" width="10.5546875" style="4" customWidth="1"/>
    <col min="8710" max="8710" width="14.88671875" style="4" customWidth="1"/>
    <col min="8711" max="8711" width="16.109375" style="4" customWidth="1"/>
    <col min="8712" max="8960" width="9.109375" style="4"/>
    <col min="8961" max="8961" width="10.88671875" style="4" customWidth="1"/>
    <col min="8962" max="8962" width="12" style="4" customWidth="1"/>
    <col min="8963" max="8963" width="11.5546875" style="4" customWidth="1"/>
    <col min="8964" max="8964" width="11.44140625" style="4" customWidth="1"/>
    <col min="8965" max="8965" width="10.5546875" style="4" customWidth="1"/>
    <col min="8966" max="8966" width="14.88671875" style="4" customWidth="1"/>
    <col min="8967" max="8967" width="16.109375" style="4" customWidth="1"/>
    <col min="8968" max="9216" width="9.109375" style="4"/>
    <col min="9217" max="9217" width="10.88671875" style="4" customWidth="1"/>
    <col min="9218" max="9218" width="12" style="4" customWidth="1"/>
    <col min="9219" max="9219" width="11.5546875" style="4" customWidth="1"/>
    <col min="9220" max="9220" width="11.44140625" style="4" customWidth="1"/>
    <col min="9221" max="9221" width="10.5546875" style="4" customWidth="1"/>
    <col min="9222" max="9222" width="14.88671875" style="4" customWidth="1"/>
    <col min="9223" max="9223" width="16.109375" style="4" customWidth="1"/>
    <col min="9224" max="9472" width="9.109375" style="4"/>
    <col min="9473" max="9473" width="10.88671875" style="4" customWidth="1"/>
    <col min="9474" max="9474" width="12" style="4" customWidth="1"/>
    <col min="9475" max="9475" width="11.5546875" style="4" customWidth="1"/>
    <col min="9476" max="9476" width="11.44140625" style="4" customWidth="1"/>
    <col min="9477" max="9477" width="10.5546875" style="4" customWidth="1"/>
    <col min="9478" max="9478" width="14.88671875" style="4" customWidth="1"/>
    <col min="9479" max="9479" width="16.109375" style="4" customWidth="1"/>
    <col min="9480" max="9728" width="9.109375" style="4"/>
    <col min="9729" max="9729" width="10.88671875" style="4" customWidth="1"/>
    <col min="9730" max="9730" width="12" style="4" customWidth="1"/>
    <col min="9731" max="9731" width="11.5546875" style="4" customWidth="1"/>
    <col min="9732" max="9732" width="11.44140625" style="4" customWidth="1"/>
    <col min="9733" max="9733" width="10.5546875" style="4" customWidth="1"/>
    <col min="9734" max="9734" width="14.88671875" style="4" customWidth="1"/>
    <col min="9735" max="9735" width="16.109375" style="4" customWidth="1"/>
    <col min="9736" max="9984" width="9.109375" style="4"/>
    <col min="9985" max="9985" width="10.88671875" style="4" customWidth="1"/>
    <col min="9986" max="9986" width="12" style="4" customWidth="1"/>
    <col min="9987" max="9987" width="11.5546875" style="4" customWidth="1"/>
    <col min="9988" max="9988" width="11.44140625" style="4" customWidth="1"/>
    <col min="9989" max="9989" width="10.5546875" style="4" customWidth="1"/>
    <col min="9990" max="9990" width="14.88671875" style="4" customWidth="1"/>
    <col min="9991" max="9991" width="16.109375" style="4" customWidth="1"/>
    <col min="9992" max="10240" width="9.109375" style="4"/>
    <col min="10241" max="10241" width="10.88671875" style="4" customWidth="1"/>
    <col min="10242" max="10242" width="12" style="4" customWidth="1"/>
    <col min="10243" max="10243" width="11.5546875" style="4" customWidth="1"/>
    <col min="10244" max="10244" width="11.44140625" style="4" customWidth="1"/>
    <col min="10245" max="10245" width="10.5546875" style="4" customWidth="1"/>
    <col min="10246" max="10246" width="14.88671875" style="4" customWidth="1"/>
    <col min="10247" max="10247" width="16.109375" style="4" customWidth="1"/>
    <col min="10248" max="10496" width="9.109375" style="4"/>
    <col min="10497" max="10497" width="10.88671875" style="4" customWidth="1"/>
    <col min="10498" max="10498" width="12" style="4" customWidth="1"/>
    <col min="10499" max="10499" width="11.5546875" style="4" customWidth="1"/>
    <col min="10500" max="10500" width="11.44140625" style="4" customWidth="1"/>
    <col min="10501" max="10501" width="10.5546875" style="4" customWidth="1"/>
    <col min="10502" max="10502" width="14.88671875" style="4" customWidth="1"/>
    <col min="10503" max="10503" width="16.109375" style="4" customWidth="1"/>
    <col min="10504" max="10752" width="9.109375" style="4"/>
    <col min="10753" max="10753" width="10.88671875" style="4" customWidth="1"/>
    <col min="10754" max="10754" width="12" style="4" customWidth="1"/>
    <col min="10755" max="10755" width="11.5546875" style="4" customWidth="1"/>
    <col min="10756" max="10756" width="11.44140625" style="4" customWidth="1"/>
    <col min="10757" max="10757" width="10.5546875" style="4" customWidth="1"/>
    <col min="10758" max="10758" width="14.88671875" style="4" customWidth="1"/>
    <col min="10759" max="10759" width="16.109375" style="4" customWidth="1"/>
    <col min="10760" max="11008" width="9.109375" style="4"/>
    <col min="11009" max="11009" width="10.88671875" style="4" customWidth="1"/>
    <col min="11010" max="11010" width="12" style="4" customWidth="1"/>
    <col min="11011" max="11011" width="11.5546875" style="4" customWidth="1"/>
    <col min="11012" max="11012" width="11.44140625" style="4" customWidth="1"/>
    <col min="11013" max="11013" width="10.5546875" style="4" customWidth="1"/>
    <col min="11014" max="11014" width="14.88671875" style="4" customWidth="1"/>
    <col min="11015" max="11015" width="16.109375" style="4" customWidth="1"/>
    <col min="11016" max="11264" width="9.109375" style="4"/>
    <col min="11265" max="11265" width="10.88671875" style="4" customWidth="1"/>
    <col min="11266" max="11266" width="12" style="4" customWidth="1"/>
    <col min="11267" max="11267" width="11.5546875" style="4" customWidth="1"/>
    <col min="11268" max="11268" width="11.44140625" style="4" customWidth="1"/>
    <col min="11269" max="11269" width="10.5546875" style="4" customWidth="1"/>
    <col min="11270" max="11270" width="14.88671875" style="4" customWidth="1"/>
    <col min="11271" max="11271" width="16.109375" style="4" customWidth="1"/>
    <col min="11272" max="11520" width="9.109375" style="4"/>
    <col min="11521" max="11521" width="10.88671875" style="4" customWidth="1"/>
    <col min="11522" max="11522" width="12" style="4" customWidth="1"/>
    <col min="11523" max="11523" width="11.5546875" style="4" customWidth="1"/>
    <col min="11524" max="11524" width="11.44140625" style="4" customWidth="1"/>
    <col min="11525" max="11525" width="10.5546875" style="4" customWidth="1"/>
    <col min="11526" max="11526" width="14.88671875" style="4" customWidth="1"/>
    <col min="11527" max="11527" width="16.109375" style="4" customWidth="1"/>
    <col min="11528" max="11776" width="9.109375" style="4"/>
    <col min="11777" max="11777" width="10.88671875" style="4" customWidth="1"/>
    <col min="11778" max="11778" width="12" style="4" customWidth="1"/>
    <col min="11779" max="11779" width="11.5546875" style="4" customWidth="1"/>
    <col min="11780" max="11780" width="11.44140625" style="4" customWidth="1"/>
    <col min="11781" max="11781" width="10.5546875" style="4" customWidth="1"/>
    <col min="11782" max="11782" width="14.88671875" style="4" customWidth="1"/>
    <col min="11783" max="11783" width="16.109375" style="4" customWidth="1"/>
    <col min="11784" max="12032" width="9.109375" style="4"/>
    <col min="12033" max="12033" width="10.88671875" style="4" customWidth="1"/>
    <col min="12034" max="12034" width="12" style="4" customWidth="1"/>
    <col min="12035" max="12035" width="11.5546875" style="4" customWidth="1"/>
    <col min="12036" max="12036" width="11.44140625" style="4" customWidth="1"/>
    <col min="12037" max="12037" width="10.5546875" style="4" customWidth="1"/>
    <col min="12038" max="12038" width="14.88671875" style="4" customWidth="1"/>
    <col min="12039" max="12039" width="16.109375" style="4" customWidth="1"/>
    <col min="12040" max="12288" width="9.109375" style="4"/>
    <col min="12289" max="12289" width="10.88671875" style="4" customWidth="1"/>
    <col min="12290" max="12290" width="12" style="4" customWidth="1"/>
    <col min="12291" max="12291" width="11.5546875" style="4" customWidth="1"/>
    <col min="12292" max="12292" width="11.44140625" style="4" customWidth="1"/>
    <col min="12293" max="12293" width="10.5546875" style="4" customWidth="1"/>
    <col min="12294" max="12294" width="14.88671875" style="4" customWidth="1"/>
    <col min="12295" max="12295" width="16.109375" style="4" customWidth="1"/>
    <col min="12296" max="12544" width="9.109375" style="4"/>
    <col min="12545" max="12545" width="10.88671875" style="4" customWidth="1"/>
    <col min="12546" max="12546" width="12" style="4" customWidth="1"/>
    <col min="12547" max="12547" width="11.5546875" style="4" customWidth="1"/>
    <col min="12548" max="12548" width="11.44140625" style="4" customWidth="1"/>
    <col min="12549" max="12549" width="10.5546875" style="4" customWidth="1"/>
    <col min="12550" max="12550" width="14.88671875" style="4" customWidth="1"/>
    <col min="12551" max="12551" width="16.109375" style="4" customWidth="1"/>
    <col min="12552" max="12800" width="9.109375" style="4"/>
    <col min="12801" max="12801" width="10.88671875" style="4" customWidth="1"/>
    <col min="12802" max="12802" width="12" style="4" customWidth="1"/>
    <col min="12803" max="12803" width="11.5546875" style="4" customWidth="1"/>
    <col min="12804" max="12804" width="11.44140625" style="4" customWidth="1"/>
    <col min="12805" max="12805" width="10.5546875" style="4" customWidth="1"/>
    <col min="12806" max="12806" width="14.88671875" style="4" customWidth="1"/>
    <col min="12807" max="12807" width="16.109375" style="4" customWidth="1"/>
    <col min="12808" max="13056" width="9.109375" style="4"/>
    <col min="13057" max="13057" width="10.88671875" style="4" customWidth="1"/>
    <col min="13058" max="13058" width="12" style="4" customWidth="1"/>
    <col min="13059" max="13059" width="11.5546875" style="4" customWidth="1"/>
    <col min="13060" max="13060" width="11.44140625" style="4" customWidth="1"/>
    <col min="13061" max="13061" width="10.5546875" style="4" customWidth="1"/>
    <col min="13062" max="13062" width="14.88671875" style="4" customWidth="1"/>
    <col min="13063" max="13063" width="16.109375" style="4" customWidth="1"/>
    <col min="13064" max="13312" width="9.109375" style="4"/>
    <col min="13313" max="13313" width="10.88671875" style="4" customWidth="1"/>
    <col min="13314" max="13314" width="12" style="4" customWidth="1"/>
    <col min="13315" max="13315" width="11.5546875" style="4" customWidth="1"/>
    <col min="13316" max="13316" width="11.44140625" style="4" customWidth="1"/>
    <col min="13317" max="13317" width="10.5546875" style="4" customWidth="1"/>
    <col min="13318" max="13318" width="14.88671875" style="4" customWidth="1"/>
    <col min="13319" max="13319" width="16.109375" style="4" customWidth="1"/>
    <col min="13320" max="13568" width="9.109375" style="4"/>
    <col min="13569" max="13569" width="10.88671875" style="4" customWidth="1"/>
    <col min="13570" max="13570" width="12" style="4" customWidth="1"/>
    <col min="13571" max="13571" width="11.5546875" style="4" customWidth="1"/>
    <col min="13572" max="13572" width="11.44140625" style="4" customWidth="1"/>
    <col min="13573" max="13573" width="10.5546875" style="4" customWidth="1"/>
    <col min="13574" max="13574" width="14.88671875" style="4" customWidth="1"/>
    <col min="13575" max="13575" width="16.109375" style="4" customWidth="1"/>
    <col min="13576" max="13824" width="9.109375" style="4"/>
    <col min="13825" max="13825" width="10.88671875" style="4" customWidth="1"/>
    <col min="13826" max="13826" width="12" style="4" customWidth="1"/>
    <col min="13827" max="13827" width="11.5546875" style="4" customWidth="1"/>
    <col min="13828" max="13828" width="11.44140625" style="4" customWidth="1"/>
    <col min="13829" max="13829" width="10.5546875" style="4" customWidth="1"/>
    <col min="13830" max="13830" width="14.88671875" style="4" customWidth="1"/>
    <col min="13831" max="13831" width="16.109375" style="4" customWidth="1"/>
    <col min="13832" max="14080" width="9.109375" style="4"/>
    <col min="14081" max="14081" width="10.88671875" style="4" customWidth="1"/>
    <col min="14082" max="14082" width="12" style="4" customWidth="1"/>
    <col min="14083" max="14083" width="11.5546875" style="4" customWidth="1"/>
    <col min="14084" max="14084" width="11.44140625" style="4" customWidth="1"/>
    <col min="14085" max="14085" width="10.5546875" style="4" customWidth="1"/>
    <col min="14086" max="14086" width="14.88671875" style="4" customWidth="1"/>
    <col min="14087" max="14087" width="16.109375" style="4" customWidth="1"/>
    <col min="14088" max="14336" width="9.109375" style="4"/>
    <col min="14337" max="14337" width="10.88671875" style="4" customWidth="1"/>
    <col min="14338" max="14338" width="12" style="4" customWidth="1"/>
    <col min="14339" max="14339" width="11.5546875" style="4" customWidth="1"/>
    <col min="14340" max="14340" width="11.44140625" style="4" customWidth="1"/>
    <col min="14341" max="14341" width="10.5546875" style="4" customWidth="1"/>
    <col min="14342" max="14342" width="14.88671875" style="4" customWidth="1"/>
    <col min="14343" max="14343" width="16.109375" style="4" customWidth="1"/>
    <col min="14344" max="14592" width="9.109375" style="4"/>
    <col min="14593" max="14593" width="10.88671875" style="4" customWidth="1"/>
    <col min="14594" max="14594" width="12" style="4" customWidth="1"/>
    <col min="14595" max="14595" width="11.5546875" style="4" customWidth="1"/>
    <col min="14596" max="14596" width="11.44140625" style="4" customWidth="1"/>
    <col min="14597" max="14597" width="10.5546875" style="4" customWidth="1"/>
    <col min="14598" max="14598" width="14.88671875" style="4" customWidth="1"/>
    <col min="14599" max="14599" width="16.109375" style="4" customWidth="1"/>
    <col min="14600" max="14848" width="9.109375" style="4"/>
    <col min="14849" max="14849" width="10.88671875" style="4" customWidth="1"/>
    <col min="14850" max="14850" width="12" style="4" customWidth="1"/>
    <col min="14851" max="14851" width="11.5546875" style="4" customWidth="1"/>
    <col min="14852" max="14852" width="11.44140625" style="4" customWidth="1"/>
    <col min="14853" max="14853" width="10.5546875" style="4" customWidth="1"/>
    <col min="14854" max="14854" width="14.88671875" style="4" customWidth="1"/>
    <col min="14855" max="14855" width="16.109375" style="4" customWidth="1"/>
    <col min="14856" max="15104" width="9.109375" style="4"/>
    <col min="15105" max="15105" width="10.88671875" style="4" customWidth="1"/>
    <col min="15106" max="15106" width="12" style="4" customWidth="1"/>
    <col min="15107" max="15107" width="11.5546875" style="4" customWidth="1"/>
    <col min="15108" max="15108" width="11.44140625" style="4" customWidth="1"/>
    <col min="15109" max="15109" width="10.5546875" style="4" customWidth="1"/>
    <col min="15110" max="15110" width="14.88671875" style="4" customWidth="1"/>
    <col min="15111" max="15111" width="16.109375" style="4" customWidth="1"/>
    <col min="15112" max="15360" width="9.109375" style="4"/>
    <col min="15361" max="15361" width="10.88671875" style="4" customWidth="1"/>
    <col min="15362" max="15362" width="12" style="4" customWidth="1"/>
    <col min="15363" max="15363" width="11.5546875" style="4" customWidth="1"/>
    <col min="15364" max="15364" width="11.44140625" style="4" customWidth="1"/>
    <col min="15365" max="15365" width="10.5546875" style="4" customWidth="1"/>
    <col min="15366" max="15366" width="14.88671875" style="4" customWidth="1"/>
    <col min="15367" max="15367" width="16.109375" style="4" customWidth="1"/>
    <col min="15368" max="15616" width="9.109375" style="4"/>
    <col min="15617" max="15617" width="10.88671875" style="4" customWidth="1"/>
    <col min="15618" max="15618" width="12" style="4" customWidth="1"/>
    <col min="15619" max="15619" width="11.5546875" style="4" customWidth="1"/>
    <col min="15620" max="15620" width="11.44140625" style="4" customWidth="1"/>
    <col min="15621" max="15621" width="10.5546875" style="4" customWidth="1"/>
    <col min="15622" max="15622" width="14.88671875" style="4" customWidth="1"/>
    <col min="15623" max="15623" width="16.109375" style="4" customWidth="1"/>
    <col min="15624" max="15872" width="9.109375" style="4"/>
    <col min="15873" max="15873" width="10.88671875" style="4" customWidth="1"/>
    <col min="15874" max="15874" width="12" style="4" customWidth="1"/>
    <col min="15875" max="15875" width="11.5546875" style="4" customWidth="1"/>
    <col min="15876" max="15876" width="11.44140625" style="4" customWidth="1"/>
    <col min="15877" max="15877" width="10.5546875" style="4" customWidth="1"/>
    <col min="15878" max="15878" width="14.88671875" style="4" customWidth="1"/>
    <col min="15879" max="15879" width="16.109375" style="4" customWidth="1"/>
    <col min="15880" max="16128" width="9.109375" style="4"/>
    <col min="16129" max="16129" width="10.88671875" style="4" customWidth="1"/>
    <col min="16130" max="16130" width="12" style="4" customWidth="1"/>
    <col min="16131" max="16131" width="11.5546875" style="4" customWidth="1"/>
    <col min="16132" max="16132" width="11.44140625" style="4" customWidth="1"/>
    <col min="16133" max="16133" width="10.5546875" style="4" customWidth="1"/>
    <col min="16134" max="16134" width="14.88671875" style="4" customWidth="1"/>
    <col min="16135" max="16135" width="16.109375" style="4" customWidth="1"/>
    <col min="16136" max="16384" width="9.109375" style="4"/>
  </cols>
  <sheetData>
    <row r="1" spans="1:13">
      <c r="G1" s="1578" t="s">
        <v>47</v>
      </c>
      <c r="I1" s="4" t="s">
        <v>104</v>
      </c>
      <c r="L1" s="1579">
        <f>G44+G33+G49+П.2.2.утв.2015!G50+П.2.2.утв.2015!G49+П.2.2.утв.2015!G51</f>
        <v>833.26700000000005</v>
      </c>
    </row>
    <row r="2" spans="1:13" ht="15.6">
      <c r="A2" s="53" t="s">
        <v>663</v>
      </c>
      <c r="B2" s="699"/>
      <c r="C2" s="699"/>
      <c r="D2" s="699"/>
      <c r="E2" s="699"/>
      <c r="F2" s="699"/>
      <c r="G2" s="699"/>
      <c r="I2" s="4" t="s">
        <v>107</v>
      </c>
      <c r="L2" s="1579">
        <f>G33+П.2.2.утв.2015!G49</f>
        <v>238.27</v>
      </c>
      <c r="M2" s="4">
        <f>L2/L1</f>
        <v>0.28594676136220443</v>
      </c>
    </row>
    <row r="3" spans="1:13" ht="12.75" customHeight="1">
      <c r="A3" s="53" t="s">
        <v>664</v>
      </c>
      <c r="B3" s="699"/>
      <c r="C3" s="699"/>
      <c r="D3" s="699"/>
      <c r="E3" s="699"/>
      <c r="F3" s="699"/>
      <c r="G3" s="699"/>
      <c r="I3" s="4" t="s">
        <v>108</v>
      </c>
      <c r="L3" s="1579">
        <f>SUM(G34:G38)+G42+П.2.2.утв.2015!G14+П.2.2.утв.2015!G21+П.2.2.утв.2015!G29+П.2.2.утв.2015!G33+П.2.2.утв.2015!G39+П.2.2.утв.2015!G43+П.2.2.утв.2015!G48</f>
        <v>0</v>
      </c>
      <c r="M3" s="4">
        <f>L3/L1</f>
        <v>0</v>
      </c>
    </row>
    <row r="4" spans="1:13" ht="12.75" customHeight="1">
      <c r="A4" s="53" t="s">
        <v>1296</v>
      </c>
      <c r="B4" s="45"/>
      <c r="C4" s="45"/>
      <c r="D4" s="45"/>
      <c r="E4" s="45"/>
      <c r="F4" s="45"/>
      <c r="G4" s="45"/>
      <c r="I4" s="4" t="s">
        <v>105</v>
      </c>
      <c r="L4" s="1579">
        <f>G40+G41+G43+П.2.2.утв.2015!G22+П.2.2.утв.2015!G30+П.2.2.утв.2015!G34+П.2.2.утв.2015!G40+П.2.2.утв.2015!G41+П.2.2.утв.2015!G42+П.2.2.утв.2015!G44+П.2.2.утв.2015!G45+П.2.2.утв.2015!G46+П.2.2.утв.2015!G47</f>
        <v>421.96000000000004</v>
      </c>
      <c r="M4" s="4">
        <f>L4/L1</f>
        <v>0.50639230882778274</v>
      </c>
    </row>
    <row r="5" spans="1:13" ht="13.5" customHeight="1">
      <c r="A5" s="53" t="s">
        <v>205</v>
      </c>
      <c r="B5" s="45"/>
      <c r="C5" s="45"/>
      <c r="D5" s="45"/>
      <c r="E5" s="45"/>
      <c r="F5" s="45"/>
      <c r="G5" s="45"/>
      <c r="I5" s="4" t="s">
        <v>106</v>
      </c>
      <c r="L5" s="1579">
        <f>G49</f>
        <v>173.03699999999995</v>
      </c>
      <c r="M5" s="4">
        <f>L5/L1</f>
        <v>0.2076609298100128</v>
      </c>
    </row>
    <row r="6" spans="1:13" ht="12.75" customHeight="1">
      <c r="A6" s="53" t="s">
        <v>207</v>
      </c>
      <c r="B6" s="50"/>
      <c r="C6" s="50"/>
      <c r="D6" s="50"/>
      <c r="E6" s="50"/>
      <c r="F6" s="50"/>
      <c r="G6" s="50"/>
      <c r="L6" s="1579"/>
    </row>
    <row r="7" spans="1:13" ht="15.6">
      <c r="A7" s="53" t="s">
        <v>206</v>
      </c>
      <c r="B7" s="50"/>
      <c r="C7" s="50"/>
      <c r="D7" s="50"/>
      <c r="E7" s="50"/>
      <c r="F7" s="50"/>
      <c r="G7" s="50"/>
      <c r="L7" s="1579">
        <f>SUM(L2:L5)</f>
        <v>833.26699999999994</v>
      </c>
    </row>
    <row r="8" spans="1:13">
      <c r="A8" s="699"/>
      <c r="B8" s="50"/>
      <c r="C8" s="50"/>
      <c r="D8" s="50"/>
      <c r="E8" s="50"/>
      <c r="F8" s="50"/>
      <c r="G8" s="50"/>
      <c r="H8" s="1561" t="s">
        <v>1321</v>
      </c>
      <c r="L8" s="1579"/>
    </row>
    <row r="9" spans="1:13">
      <c r="G9" s="702" t="s">
        <v>1311</v>
      </c>
      <c r="L9" s="1665">
        <v>833.26700000000005</v>
      </c>
    </row>
    <row r="10" spans="1:13" ht="79.2">
      <c r="A10" s="1918"/>
      <c r="B10" s="1920" t="s">
        <v>48</v>
      </c>
      <c r="C10" s="1920" t="s">
        <v>49</v>
      </c>
      <c r="D10" s="1920" t="s">
        <v>50</v>
      </c>
      <c r="E10" s="1763" t="s">
        <v>51</v>
      </c>
      <c r="F10" s="1763" t="s">
        <v>52</v>
      </c>
      <c r="G10" s="1763" t="s">
        <v>53</v>
      </c>
      <c r="I10" s="32"/>
    </row>
    <row r="11" spans="1:13">
      <c r="A11" s="1919"/>
      <c r="B11" s="1921"/>
      <c r="C11" s="1921"/>
      <c r="D11" s="1921"/>
      <c r="E11" s="1763" t="s">
        <v>54</v>
      </c>
      <c r="F11" s="1763" t="s">
        <v>55</v>
      </c>
      <c r="G11" s="1763" t="s">
        <v>56</v>
      </c>
      <c r="L11" s="28"/>
    </row>
    <row r="12" spans="1:13">
      <c r="A12" s="1767">
        <v>1</v>
      </c>
      <c r="B12" s="1767">
        <f>+A12+1</f>
        <v>2</v>
      </c>
      <c r="C12" s="1767">
        <f>+B12+1</f>
        <v>3</v>
      </c>
      <c r="D12" s="1767">
        <f>+C12+1</f>
        <v>4</v>
      </c>
      <c r="E12" s="1767">
        <f>+D12+1</f>
        <v>5</v>
      </c>
      <c r="F12" s="1767">
        <f>+E12+1</f>
        <v>6</v>
      </c>
      <c r="G12" s="1767" t="s">
        <v>115</v>
      </c>
    </row>
    <row r="13" spans="1:13">
      <c r="A13" s="1922" t="s">
        <v>57</v>
      </c>
      <c r="B13" s="1768">
        <v>1150</v>
      </c>
      <c r="C13" s="1767" t="s">
        <v>46</v>
      </c>
      <c r="D13" s="1765" t="s">
        <v>58</v>
      </c>
      <c r="E13" s="1767">
        <v>800</v>
      </c>
      <c r="F13" s="1767"/>
      <c r="G13" s="1767"/>
    </row>
    <row r="14" spans="1:13">
      <c r="A14" s="1922"/>
      <c r="B14" s="1768">
        <v>750</v>
      </c>
      <c r="C14" s="1767">
        <v>1</v>
      </c>
      <c r="D14" s="1765" t="s">
        <v>58</v>
      </c>
      <c r="E14" s="1767">
        <v>600</v>
      </c>
      <c r="F14" s="1767"/>
      <c r="G14" s="1767"/>
      <c r="L14" s="28"/>
      <c r="M14" s="33"/>
    </row>
    <row r="15" spans="1:13">
      <c r="A15" s="1922"/>
      <c r="B15" s="1923" t="s">
        <v>59</v>
      </c>
      <c r="C15" s="1924">
        <v>1</v>
      </c>
      <c r="D15" s="1765" t="s">
        <v>58</v>
      </c>
      <c r="E15" s="1767">
        <v>400</v>
      </c>
      <c r="F15" s="1767"/>
      <c r="G15" s="1767"/>
      <c r="L15" s="18"/>
      <c r="M15" s="33"/>
    </row>
    <row r="16" spans="1:13">
      <c r="A16" s="1922"/>
      <c r="B16" s="1923"/>
      <c r="C16" s="1924"/>
      <c r="D16" s="1765" t="s">
        <v>60</v>
      </c>
      <c r="E16" s="1767">
        <v>300</v>
      </c>
      <c r="F16" s="1767"/>
      <c r="G16" s="1767"/>
    </row>
    <row r="17" spans="1:12">
      <c r="A17" s="1922"/>
      <c r="B17" s="1923">
        <v>330</v>
      </c>
      <c r="C17" s="1924">
        <v>1</v>
      </c>
      <c r="D17" s="1765" t="s">
        <v>58</v>
      </c>
      <c r="E17" s="1767">
        <v>230</v>
      </c>
      <c r="F17" s="1767"/>
      <c r="G17" s="1767"/>
      <c r="L17" s="28"/>
    </row>
    <row r="18" spans="1:12">
      <c r="A18" s="1922"/>
      <c r="B18" s="1923"/>
      <c r="C18" s="1924"/>
      <c r="D18" s="1765" t="s">
        <v>60</v>
      </c>
      <c r="E18" s="1767">
        <v>170</v>
      </c>
      <c r="F18" s="1767"/>
      <c r="G18" s="1767"/>
    </row>
    <row r="19" spans="1:12">
      <c r="A19" s="1922"/>
      <c r="B19" s="1923"/>
      <c r="C19" s="1924">
        <v>2</v>
      </c>
      <c r="D19" s="1765" t="s">
        <v>58</v>
      </c>
      <c r="E19" s="1767">
        <v>290</v>
      </c>
      <c r="F19" s="1767"/>
      <c r="G19" s="1767"/>
    </row>
    <row r="20" spans="1:12">
      <c r="A20" s="1922"/>
      <c r="B20" s="1923"/>
      <c r="C20" s="1924"/>
      <c r="D20" s="1765" t="s">
        <v>60</v>
      </c>
      <c r="E20" s="1767">
        <v>210</v>
      </c>
      <c r="F20" s="1767"/>
      <c r="G20" s="1767"/>
    </row>
    <row r="21" spans="1:12">
      <c r="A21" s="1922"/>
      <c r="B21" s="1925">
        <v>220</v>
      </c>
      <c r="C21" s="1922">
        <v>1</v>
      </c>
      <c r="D21" s="1765" t="s">
        <v>61</v>
      </c>
      <c r="E21" s="390">
        <v>260</v>
      </c>
      <c r="F21" s="389"/>
      <c r="G21" s="389"/>
    </row>
    <row r="22" spans="1:12">
      <c r="A22" s="1922"/>
      <c r="B22" s="1925"/>
      <c r="C22" s="1922"/>
      <c r="D22" s="1765" t="s">
        <v>58</v>
      </c>
      <c r="E22" s="390">
        <v>210</v>
      </c>
      <c r="F22" s="390"/>
      <c r="G22" s="390"/>
    </row>
    <row r="23" spans="1:12">
      <c r="A23" s="1922"/>
      <c r="B23" s="1925"/>
      <c r="C23" s="1922"/>
      <c r="D23" s="1765" t="s">
        <v>60</v>
      </c>
      <c r="E23" s="390">
        <v>140</v>
      </c>
      <c r="F23" s="390"/>
      <c r="G23" s="390"/>
    </row>
    <row r="24" spans="1:12">
      <c r="A24" s="1922"/>
      <c r="B24" s="1925"/>
      <c r="C24" s="1922">
        <v>2</v>
      </c>
      <c r="D24" s="1765" t="s">
        <v>58</v>
      </c>
      <c r="E24" s="390">
        <v>270</v>
      </c>
      <c r="F24" s="390">
        <v>0.1</v>
      </c>
      <c r="G24" s="397">
        <f>E24*F24/100</f>
        <v>0.27</v>
      </c>
    </row>
    <row r="25" spans="1:12">
      <c r="A25" s="1922"/>
      <c r="B25" s="1925"/>
      <c r="C25" s="1922"/>
      <c r="D25" s="1765" t="s">
        <v>60</v>
      </c>
      <c r="E25" s="390">
        <v>180</v>
      </c>
      <c r="F25" s="390"/>
      <c r="G25" s="390"/>
    </row>
    <row r="26" spans="1:12">
      <c r="A26" s="1922"/>
      <c r="B26" s="1925" t="s">
        <v>62</v>
      </c>
      <c r="C26" s="1922">
        <v>1</v>
      </c>
      <c r="D26" s="1765" t="s">
        <v>61</v>
      </c>
      <c r="E26" s="390">
        <v>180</v>
      </c>
      <c r="F26" s="389"/>
      <c r="G26" s="389"/>
    </row>
    <row r="27" spans="1:12">
      <c r="A27" s="1922"/>
      <c r="B27" s="1925"/>
      <c r="C27" s="1922"/>
      <c r="D27" s="1765" t="s">
        <v>58</v>
      </c>
      <c r="E27" s="390">
        <v>160</v>
      </c>
      <c r="F27" s="390"/>
      <c r="G27" s="392">
        <f>E27*F27/100</f>
        <v>0</v>
      </c>
    </row>
    <row r="28" spans="1:12">
      <c r="A28" s="1922"/>
      <c r="B28" s="1925"/>
      <c r="C28" s="1922"/>
      <c r="D28" s="1765" t="s">
        <v>60</v>
      </c>
      <c r="E28" s="390">
        <v>130</v>
      </c>
      <c r="F28" s="391"/>
      <c r="G28" s="390"/>
    </row>
    <row r="29" spans="1:12">
      <c r="A29" s="1922"/>
      <c r="B29" s="1925"/>
      <c r="C29" s="1922">
        <v>2</v>
      </c>
      <c r="D29" s="1765" t="s">
        <v>58</v>
      </c>
      <c r="E29" s="390">
        <v>190</v>
      </c>
      <c r="F29" s="390"/>
      <c r="G29" s="389"/>
    </row>
    <row r="30" spans="1:12">
      <c r="A30" s="1922"/>
      <c r="B30" s="1925"/>
      <c r="C30" s="1922"/>
      <c r="D30" s="1765" t="s">
        <v>60</v>
      </c>
      <c r="E30" s="390">
        <v>160</v>
      </c>
      <c r="F30" s="391"/>
      <c r="G30" s="390"/>
    </row>
    <row r="31" spans="1:12">
      <c r="A31" s="1922" t="s">
        <v>63</v>
      </c>
      <c r="B31" s="1769">
        <v>220</v>
      </c>
      <c r="C31" s="1767" t="s">
        <v>46</v>
      </c>
      <c r="D31" s="1767" t="s">
        <v>46</v>
      </c>
      <c r="E31" s="390">
        <v>3000</v>
      </c>
      <c r="F31" s="391"/>
      <c r="G31" s="390"/>
    </row>
    <row r="32" spans="1:12">
      <c r="A32" s="1922"/>
      <c r="B32" s="1769">
        <v>110</v>
      </c>
      <c r="C32" s="1767" t="s">
        <v>46</v>
      </c>
      <c r="D32" s="1767" t="s">
        <v>46</v>
      </c>
      <c r="E32" s="390">
        <v>2300</v>
      </c>
      <c r="F32" s="391"/>
      <c r="G32" s="390"/>
    </row>
    <row r="33" spans="1:13">
      <c r="A33" s="1922" t="s">
        <v>114</v>
      </c>
      <c r="B33" s="1922"/>
      <c r="C33" s="1922"/>
      <c r="D33" s="1922"/>
      <c r="E33" s="1922"/>
      <c r="F33" s="392"/>
      <c r="G33" s="397">
        <f>SUM(G13:G32)</f>
        <v>0.27</v>
      </c>
      <c r="H33" s="26"/>
      <c r="I33" s="25"/>
      <c r="J33" s="25"/>
      <c r="K33" s="25"/>
      <c r="L33" s="25"/>
    </row>
    <row r="34" spans="1:13">
      <c r="A34" s="1927" t="s">
        <v>57</v>
      </c>
      <c r="B34" s="1928">
        <v>35</v>
      </c>
      <c r="C34" s="1927">
        <v>1</v>
      </c>
      <c r="D34" s="1765" t="s">
        <v>61</v>
      </c>
      <c r="E34" s="390">
        <v>170</v>
      </c>
      <c r="F34" s="389"/>
      <c r="G34" s="389"/>
    </row>
    <row r="35" spans="1:13">
      <c r="A35" s="1927"/>
      <c r="B35" s="1928"/>
      <c r="C35" s="1927"/>
      <c r="D35" s="1765" t="s">
        <v>58</v>
      </c>
      <c r="E35" s="390">
        <v>140</v>
      </c>
      <c r="F35" s="390"/>
      <c r="G35" s="390"/>
    </row>
    <row r="36" spans="1:13">
      <c r="A36" s="1927"/>
      <c r="B36" s="1928"/>
      <c r="C36" s="1927"/>
      <c r="D36" s="1765" t="s">
        <v>60</v>
      </c>
      <c r="E36" s="390">
        <v>120</v>
      </c>
      <c r="F36" s="390"/>
      <c r="G36" s="397">
        <f>E36*F36/100</f>
        <v>0</v>
      </c>
    </row>
    <row r="37" spans="1:13">
      <c r="A37" s="1927"/>
      <c r="B37" s="1928"/>
      <c r="C37" s="1927">
        <v>2</v>
      </c>
      <c r="D37" s="1765" t="s">
        <v>58</v>
      </c>
      <c r="E37" s="390">
        <v>180</v>
      </c>
      <c r="F37" s="390"/>
      <c r="G37" s="397">
        <f>E37*F37/100</f>
        <v>0</v>
      </c>
    </row>
    <row r="38" spans="1:13">
      <c r="A38" s="1927"/>
      <c r="B38" s="1928"/>
      <c r="C38" s="1927"/>
      <c r="D38" s="1765" t="s">
        <v>60</v>
      </c>
      <c r="E38" s="390">
        <v>150</v>
      </c>
      <c r="F38" s="390"/>
      <c r="G38" s="390"/>
    </row>
    <row r="39" spans="1:13">
      <c r="A39" s="1927"/>
      <c r="B39" s="1929" t="s">
        <v>64</v>
      </c>
      <c r="C39" s="1924" t="s">
        <v>46</v>
      </c>
      <c r="D39" s="390" t="s">
        <v>61</v>
      </c>
      <c r="E39" s="390">
        <v>160</v>
      </c>
      <c r="F39" s="390"/>
      <c r="G39" s="390"/>
    </row>
    <row r="40" spans="1:13" ht="26.4">
      <c r="A40" s="1927"/>
      <c r="B40" s="1929"/>
      <c r="C40" s="1924"/>
      <c r="D40" s="399" t="s">
        <v>65</v>
      </c>
      <c r="E40" s="390">
        <v>140</v>
      </c>
      <c r="F40" s="390"/>
      <c r="G40" s="400">
        <f>E40*F40/100</f>
        <v>0</v>
      </c>
    </row>
    <row r="41" spans="1:13" ht="26.4">
      <c r="A41" s="1927"/>
      <c r="B41" s="1929"/>
      <c r="C41" s="1924"/>
      <c r="D41" s="399" t="s">
        <v>66</v>
      </c>
      <c r="E41" s="390">
        <v>110</v>
      </c>
      <c r="F41" s="1580">
        <v>5</v>
      </c>
      <c r="G41" s="400">
        <f>E41*F41/100</f>
        <v>5.5</v>
      </c>
      <c r="J41" s="1581" t="s">
        <v>929</v>
      </c>
      <c r="K41" s="98"/>
      <c r="L41" s="98"/>
      <c r="M41" s="98"/>
    </row>
    <row r="42" spans="1:13">
      <c r="A42" s="1930" t="s">
        <v>63</v>
      </c>
      <c r="B42" s="1769" t="s">
        <v>67</v>
      </c>
      <c r="C42" s="1767" t="s">
        <v>46</v>
      </c>
      <c r="D42" s="1767" t="s">
        <v>46</v>
      </c>
      <c r="E42" s="390">
        <v>470</v>
      </c>
      <c r="F42" s="390"/>
      <c r="G42" s="390"/>
      <c r="J42" s="1581"/>
      <c r="K42" s="98"/>
      <c r="L42" s="98"/>
      <c r="M42" s="98"/>
    </row>
    <row r="43" spans="1:13">
      <c r="A43" s="1930"/>
      <c r="B43" s="401" t="s">
        <v>68</v>
      </c>
      <c r="C43" s="402" t="s">
        <v>46</v>
      </c>
      <c r="D43" s="402" t="s">
        <v>46</v>
      </c>
      <c r="E43" s="393">
        <v>350</v>
      </c>
      <c r="F43" s="1662">
        <f>19.01+1.7+1.45</f>
        <v>22.16</v>
      </c>
      <c r="G43" s="400">
        <f>E43*F43/100</f>
        <v>77.56</v>
      </c>
      <c r="J43" s="1581"/>
      <c r="K43" s="98">
        <f>100.2+100+130+100+200+140+140+100+200+180+100+200+100+600+250+250+100+250+100+270+50+100+70+100+70+120+100+100</f>
        <v>4320.2</v>
      </c>
      <c r="L43" s="98"/>
      <c r="M43" s="98"/>
    </row>
    <row r="44" spans="1:13">
      <c r="A44" s="1931" t="s">
        <v>69</v>
      </c>
      <c r="B44" s="1931"/>
      <c r="C44" s="1931"/>
      <c r="D44" s="1931"/>
      <c r="E44" s="1931"/>
      <c r="F44" s="394"/>
      <c r="G44" s="400">
        <f>SUM(G34:G43)</f>
        <v>83.06</v>
      </c>
      <c r="H44" s="27"/>
      <c r="J44" s="1581"/>
      <c r="K44" s="98"/>
      <c r="L44" s="98"/>
      <c r="M44" s="98"/>
    </row>
    <row r="45" spans="1:13">
      <c r="A45" s="1927" t="s">
        <v>57</v>
      </c>
      <c r="B45" s="1932" t="s">
        <v>70</v>
      </c>
      <c r="C45" s="1927" t="s">
        <v>46</v>
      </c>
      <c r="D45" s="390" t="s">
        <v>61</v>
      </c>
      <c r="E45" s="390">
        <v>260</v>
      </c>
      <c r="F45" s="390"/>
      <c r="G45" s="390"/>
      <c r="J45" s="1581"/>
      <c r="K45" s="98"/>
      <c r="L45" s="98"/>
      <c r="M45" s="98"/>
    </row>
    <row r="46" spans="1:13" ht="26.4">
      <c r="A46" s="1927"/>
      <c r="B46" s="1932"/>
      <c r="C46" s="1927"/>
      <c r="D46" s="399" t="s">
        <v>65</v>
      </c>
      <c r="E46" s="390">
        <v>220</v>
      </c>
      <c r="F46" s="390"/>
      <c r="G46" s="400">
        <f>E46*F46/100</f>
        <v>0</v>
      </c>
      <c r="J46" s="1581"/>
      <c r="K46" s="98"/>
      <c r="L46" s="98"/>
      <c r="M46" s="98"/>
    </row>
    <row r="47" spans="1:13" ht="26.4">
      <c r="A47" s="1927"/>
      <c r="B47" s="1932"/>
      <c r="C47" s="1927"/>
      <c r="D47" s="399" t="s">
        <v>66</v>
      </c>
      <c r="E47" s="390">
        <v>150</v>
      </c>
      <c r="F47" s="1582">
        <f>0.5+1.8</f>
        <v>2.2999999999999998</v>
      </c>
      <c r="G47" s="400">
        <f>E47*F47/100</f>
        <v>3.45</v>
      </c>
      <c r="J47" s="1581" t="s">
        <v>929</v>
      </c>
      <c r="K47" s="98"/>
      <c r="L47" s="98"/>
      <c r="M47" s="98"/>
    </row>
    <row r="48" spans="1:13">
      <c r="A48" s="1765" t="s">
        <v>63</v>
      </c>
      <c r="B48" s="1766" t="s">
        <v>71</v>
      </c>
      <c r="C48" s="1767" t="s">
        <v>46</v>
      </c>
      <c r="D48" s="1767" t="s">
        <v>46</v>
      </c>
      <c r="E48" s="390">
        <v>270</v>
      </c>
      <c r="F48" s="1663">
        <f>62.46+0.15+0.08+0.12</f>
        <v>62.809999999999995</v>
      </c>
      <c r="G48" s="400">
        <f>E48*F48/100</f>
        <v>169.58699999999996</v>
      </c>
      <c r="K48" s="98"/>
      <c r="L48" s="98"/>
      <c r="M48" s="98"/>
    </row>
    <row r="49" spans="1:12">
      <c r="A49" s="1926" t="s">
        <v>72</v>
      </c>
      <c r="B49" s="1926"/>
      <c r="C49" s="1926"/>
      <c r="D49" s="1926"/>
      <c r="E49" s="1926"/>
      <c r="F49" s="1926"/>
      <c r="G49" s="400">
        <f>G45+G46+G47+G48</f>
        <v>173.03699999999995</v>
      </c>
      <c r="J49" s="1583">
        <f>G33+G44+G49</f>
        <v>256.36699999999996</v>
      </c>
      <c r="K49" s="54"/>
      <c r="L49" s="1583"/>
    </row>
    <row r="50" spans="1:12">
      <c r="A50" s="20"/>
      <c r="B50" s="21"/>
      <c r="C50" s="20"/>
      <c r="D50" s="1"/>
      <c r="E50" s="1"/>
      <c r="F50" s="1"/>
      <c r="G50" s="1"/>
      <c r="J50" s="32"/>
      <c r="K50" s="32"/>
      <c r="L50" s="32"/>
    </row>
    <row r="51" spans="1:12" ht="9.75" customHeight="1"/>
    <row r="52" spans="1:12" s="1777" customFormat="1" ht="23.25" customHeight="1">
      <c r="A52" s="1774" t="s">
        <v>632</v>
      </c>
      <c r="B52" s="1775"/>
      <c r="C52" s="1776"/>
      <c r="H52" s="1778"/>
    </row>
    <row r="53" spans="1:12" s="1777" customFormat="1" ht="15" customHeight="1">
      <c r="A53" s="1774" t="s">
        <v>662</v>
      </c>
      <c r="B53" s="1779"/>
      <c r="C53" s="1776"/>
      <c r="G53" s="1780" t="s">
        <v>634</v>
      </c>
    </row>
    <row r="54" spans="1:12" s="22" customFormat="1">
      <c r="F54" s="23"/>
    </row>
    <row r="55" spans="1:12" s="22" customFormat="1">
      <c r="A55" s="43"/>
      <c r="F55" s="23"/>
    </row>
    <row r="56" spans="1:12" s="22" customFormat="1">
      <c r="A56" s="43"/>
      <c r="F56" s="23"/>
    </row>
  </sheetData>
  <mergeCells count="30">
    <mergeCell ref="A10:A11"/>
    <mergeCell ref="B10:B11"/>
    <mergeCell ref="C10:C11"/>
    <mergeCell ref="D10:D11"/>
    <mergeCell ref="A13:A30"/>
    <mergeCell ref="B15:B16"/>
    <mergeCell ref="C15:C16"/>
    <mergeCell ref="B17:B20"/>
    <mergeCell ref="C17:C18"/>
    <mergeCell ref="C19:C20"/>
    <mergeCell ref="B21:B25"/>
    <mergeCell ref="C21:C23"/>
    <mergeCell ref="C24:C25"/>
    <mergeCell ref="B26:B30"/>
    <mergeCell ref="C26:C28"/>
    <mergeCell ref="C29:C30"/>
    <mergeCell ref="A49:F49"/>
    <mergeCell ref="A31:A32"/>
    <mergeCell ref="A33:E33"/>
    <mergeCell ref="A34:A41"/>
    <mergeCell ref="B34:B38"/>
    <mergeCell ref="C34:C36"/>
    <mergeCell ref="C37:C38"/>
    <mergeCell ref="B39:B41"/>
    <mergeCell ref="C39:C41"/>
    <mergeCell ref="A42:A43"/>
    <mergeCell ref="A44:E44"/>
    <mergeCell ref="A45:A47"/>
    <mergeCell ref="B45:B47"/>
    <mergeCell ref="C45:C47"/>
  </mergeCells>
  <printOptions horizontalCentered="1"/>
  <pageMargins left="0.78740157480314965" right="0.78740157480314965" top="0.78740157480314965" bottom="0.11811023622047245" header="0.51181102362204722" footer="3.937007874015748E-2"/>
  <pageSetup paperSize="9" scale="90" orientation="portrait" r:id="rId1"/>
  <headerFooter alignWithMargins="0"/>
  <colBreaks count="1" manualBreakCount="1">
    <brk id="7" max="1048575" man="1"/>
  </col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66"/>
  </sheetPr>
  <dimension ref="A1:K71"/>
  <sheetViews>
    <sheetView zoomScaleNormal="100" workbookViewId="0">
      <pane xSplit="3" ySplit="7" topLeftCell="D13" activePane="bottomRight" state="frozenSplit"/>
      <selection activeCell="K8" sqref="K8"/>
      <selection pane="topRight" activeCell="K8" sqref="K8"/>
      <selection pane="bottomLeft" activeCell="K8" sqref="K8"/>
      <selection pane="bottomRight" activeCell="K8" sqref="K8"/>
    </sheetView>
  </sheetViews>
  <sheetFormatPr defaultRowHeight="13.2"/>
  <cols>
    <col min="1" max="1" width="9.109375" style="4"/>
    <col min="2" max="2" width="18" style="4" customWidth="1"/>
    <col min="3" max="3" width="12.88671875" style="4" customWidth="1"/>
    <col min="4" max="4" width="12.33203125" style="4" customWidth="1"/>
    <col min="5" max="5" width="11" style="4" customWidth="1"/>
    <col min="6" max="6" width="10.5546875" style="4" customWidth="1"/>
    <col min="7" max="257" width="9.109375" style="4"/>
    <col min="258" max="258" width="18" style="4" customWidth="1"/>
    <col min="259" max="259" width="12.88671875" style="4" customWidth="1"/>
    <col min="260" max="260" width="12.33203125" style="4" customWidth="1"/>
    <col min="261" max="261" width="11" style="4" customWidth="1"/>
    <col min="262" max="262" width="10.5546875" style="4" customWidth="1"/>
    <col min="263" max="513" width="9.109375" style="4"/>
    <col min="514" max="514" width="18" style="4" customWidth="1"/>
    <col min="515" max="515" width="12.88671875" style="4" customWidth="1"/>
    <col min="516" max="516" width="12.33203125" style="4" customWidth="1"/>
    <col min="517" max="517" width="11" style="4" customWidth="1"/>
    <col min="518" max="518" width="10.5546875" style="4" customWidth="1"/>
    <col min="519" max="769" width="9.109375" style="4"/>
    <col min="770" max="770" width="18" style="4" customWidth="1"/>
    <col min="771" max="771" width="12.88671875" style="4" customWidth="1"/>
    <col min="772" max="772" width="12.33203125" style="4" customWidth="1"/>
    <col min="773" max="773" width="11" style="4" customWidth="1"/>
    <col min="774" max="774" width="10.5546875" style="4" customWidth="1"/>
    <col min="775" max="1025" width="9.109375" style="4"/>
    <col min="1026" max="1026" width="18" style="4" customWidth="1"/>
    <col min="1027" max="1027" width="12.88671875" style="4" customWidth="1"/>
    <col min="1028" max="1028" width="12.33203125" style="4" customWidth="1"/>
    <col min="1029" max="1029" width="11" style="4" customWidth="1"/>
    <col min="1030" max="1030" width="10.5546875" style="4" customWidth="1"/>
    <col min="1031" max="1281" width="9.109375" style="4"/>
    <col min="1282" max="1282" width="18" style="4" customWidth="1"/>
    <col min="1283" max="1283" width="12.88671875" style="4" customWidth="1"/>
    <col min="1284" max="1284" width="12.33203125" style="4" customWidth="1"/>
    <col min="1285" max="1285" width="11" style="4" customWidth="1"/>
    <col min="1286" max="1286" width="10.5546875" style="4" customWidth="1"/>
    <col min="1287" max="1537" width="9.109375" style="4"/>
    <col min="1538" max="1538" width="18" style="4" customWidth="1"/>
    <col min="1539" max="1539" width="12.88671875" style="4" customWidth="1"/>
    <col min="1540" max="1540" width="12.33203125" style="4" customWidth="1"/>
    <col min="1541" max="1541" width="11" style="4" customWidth="1"/>
    <col min="1542" max="1542" width="10.5546875" style="4" customWidth="1"/>
    <col min="1543" max="1793" width="9.109375" style="4"/>
    <col min="1794" max="1794" width="18" style="4" customWidth="1"/>
    <col min="1795" max="1795" width="12.88671875" style="4" customWidth="1"/>
    <col min="1796" max="1796" width="12.33203125" style="4" customWidth="1"/>
    <col min="1797" max="1797" width="11" style="4" customWidth="1"/>
    <col min="1798" max="1798" width="10.5546875" style="4" customWidth="1"/>
    <col min="1799" max="2049" width="9.109375" style="4"/>
    <col min="2050" max="2050" width="18" style="4" customWidth="1"/>
    <col min="2051" max="2051" width="12.88671875" style="4" customWidth="1"/>
    <col min="2052" max="2052" width="12.33203125" style="4" customWidth="1"/>
    <col min="2053" max="2053" width="11" style="4" customWidth="1"/>
    <col min="2054" max="2054" width="10.5546875" style="4" customWidth="1"/>
    <col min="2055" max="2305" width="9.109375" style="4"/>
    <col min="2306" max="2306" width="18" style="4" customWidth="1"/>
    <col min="2307" max="2307" width="12.88671875" style="4" customWidth="1"/>
    <col min="2308" max="2308" width="12.33203125" style="4" customWidth="1"/>
    <col min="2309" max="2309" width="11" style="4" customWidth="1"/>
    <col min="2310" max="2310" width="10.5546875" style="4" customWidth="1"/>
    <col min="2311" max="2561" width="9.109375" style="4"/>
    <col min="2562" max="2562" width="18" style="4" customWidth="1"/>
    <col min="2563" max="2563" width="12.88671875" style="4" customWidth="1"/>
    <col min="2564" max="2564" width="12.33203125" style="4" customWidth="1"/>
    <col min="2565" max="2565" width="11" style="4" customWidth="1"/>
    <col min="2566" max="2566" width="10.5546875" style="4" customWidth="1"/>
    <col min="2567" max="2817" width="9.109375" style="4"/>
    <col min="2818" max="2818" width="18" style="4" customWidth="1"/>
    <col min="2819" max="2819" width="12.88671875" style="4" customWidth="1"/>
    <col min="2820" max="2820" width="12.33203125" style="4" customWidth="1"/>
    <col min="2821" max="2821" width="11" style="4" customWidth="1"/>
    <col min="2822" max="2822" width="10.5546875" style="4" customWidth="1"/>
    <col min="2823" max="3073" width="9.109375" style="4"/>
    <col min="3074" max="3074" width="18" style="4" customWidth="1"/>
    <col min="3075" max="3075" width="12.88671875" style="4" customWidth="1"/>
    <col min="3076" max="3076" width="12.33203125" style="4" customWidth="1"/>
    <col min="3077" max="3077" width="11" style="4" customWidth="1"/>
    <col min="3078" max="3078" width="10.5546875" style="4" customWidth="1"/>
    <col min="3079" max="3329" width="9.109375" style="4"/>
    <col min="3330" max="3330" width="18" style="4" customWidth="1"/>
    <col min="3331" max="3331" width="12.88671875" style="4" customWidth="1"/>
    <col min="3332" max="3332" width="12.33203125" style="4" customWidth="1"/>
    <col min="3333" max="3333" width="11" style="4" customWidth="1"/>
    <col min="3334" max="3334" width="10.5546875" style="4" customWidth="1"/>
    <col min="3335" max="3585" width="9.109375" style="4"/>
    <col min="3586" max="3586" width="18" style="4" customWidth="1"/>
    <col min="3587" max="3587" width="12.88671875" style="4" customWidth="1"/>
    <col min="3588" max="3588" width="12.33203125" style="4" customWidth="1"/>
    <col min="3589" max="3589" width="11" style="4" customWidth="1"/>
    <col min="3590" max="3590" width="10.5546875" style="4" customWidth="1"/>
    <col min="3591" max="3841" width="9.109375" style="4"/>
    <col min="3842" max="3842" width="18" style="4" customWidth="1"/>
    <col min="3843" max="3843" width="12.88671875" style="4" customWidth="1"/>
    <col min="3844" max="3844" width="12.33203125" style="4" customWidth="1"/>
    <col min="3845" max="3845" width="11" style="4" customWidth="1"/>
    <col min="3846" max="3846" width="10.5546875" style="4" customWidth="1"/>
    <col min="3847" max="4097" width="9.109375" style="4"/>
    <col min="4098" max="4098" width="18" style="4" customWidth="1"/>
    <col min="4099" max="4099" width="12.88671875" style="4" customWidth="1"/>
    <col min="4100" max="4100" width="12.33203125" style="4" customWidth="1"/>
    <col min="4101" max="4101" width="11" style="4" customWidth="1"/>
    <col min="4102" max="4102" width="10.5546875" style="4" customWidth="1"/>
    <col min="4103" max="4353" width="9.109375" style="4"/>
    <col min="4354" max="4354" width="18" style="4" customWidth="1"/>
    <col min="4355" max="4355" width="12.88671875" style="4" customWidth="1"/>
    <col min="4356" max="4356" width="12.33203125" style="4" customWidth="1"/>
    <col min="4357" max="4357" width="11" style="4" customWidth="1"/>
    <col min="4358" max="4358" width="10.5546875" style="4" customWidth="1"/>
    <col min="4359" max="4609" width="9.109375" style="4"/>
    <col min="4610" max="4610" width="18" style="4" customWidth="1"/>
    <col min="4611" max="4611" width="12.88671875" style="4" customWidth="1"/>
    <col min="4612" max="4612" width="12.33203125" style="4" customWidth="1"/>
    <col min="4613" max="4613" width="11" style="4" customWidth="1"/>
    <col min="4614" max="4614" width="10.5546875" style="4" customWidth="1"/>
    <col min="4615" max="4865" width="9.109375" style="4"/>
    <col min="4866" max="4866" width="18" style="4" customWidth="1"/>
    <col min="4867" max="4867" width="12.88671875" style="4" customWidth="1"/>
    <col min="4868" max="4868" width="12.33203125" style="4" customWidth="1"/>
    <col min="4869" max="4869" width="11" style="4" customWidth="1"/>
    <col min="4870" max="4870" width="10.5546875" style="4" customWidth="1"/>
    <col min="4871" max="5121" width="9.109375" style="4"/>
    <col min="5122" max="5122" width="18" style="4" customWidth="1"/>
    <col min="5123" max="5123" width="12.88671875" style="4" customWidth="1"/>
    <col min="5124" max="5124" width="12.33203125" style="4" customWidth="1"/>
    <col min="5125" max="5125" width="11" style="4" customWidth="1"/>
    <col min="5126" max="5126" width="10.5546875" style="4" customWidth="1"/>
    <col min="5127" max="5377" width="9.109375" style="4"/>
    <col min="5378" max="5378" width="18" style="4" customWidth="1"/>
    <col min="5379" max="5379" width="12.88671875" style="4" customWidth="1"/>
    <col min="5380" max="5380" width="12.33203125" style="4" customWidth="1"/>
    <col min="5381" max="5381" width="11" style="4" customWidth="1"/>
    <col min="5382" max="5382" width="10.5546875" style="4" customWidth="1"/>
    <col min="5383" max="5633" width="9.109375" style="4"/>
    <col min="5634" max="5634" width="18" style="4" customWidth="1"/>
    <col min="5635" max="5635" width="12.88671875" style="4" customWidth="1"/>
    <col min="5636" max="5636" width="12.33203125" style="4" customWidth="1"/>
    <col min="5637" max="5637" width="11" style="4" customWidth="1"/>
    <col min="5638" max="5638" width="10.5546875" style="4" customWidth="1"/>
    <col min="5639" max="5889" width="9.109375" style="4"/>
    <col min="5890" max="5890" width="18" style="4" customWidth="1"/>
    <col min="5891" max="5891" width="12.88671875" style="4" customWidth="1"/>
    <col min="5892" max="5892" width="12.33203125" style="4" customWidth="1"/>
    <col min="5893" max="5893" width="11" style="4" customWidth="1"/>
    <col min="5894" max="5894" width="10.5546875" style="4" customWidth="1"/>
    <col min="5895" max="6145" width="9.109375" style="4"/>
    <col min="6146" max="6146" width="18" style="4" customWidth="1"/>
    <col min="6147" max="6147" width="12.88671875" style="4" customWidth="1"/>
    <col min="6148" max="6148" width="12.33203125" style="4" customWidth="1"/>
    <col min="6149" max="6149" width="11" style="4" customWidth="1"/>
    <col min="6150" max="6150" width="10.5546875" style="4" customWidth="1"/>
    <col min="6151" max="6401" width="9.109375" style="4"/>
    <col min="6402" max="6402" width="18" style="4" customWidth="1"/>
    <col min="6403" max="6403" width="12.88671875" style="4" customWidth="1"/>
    <col min="6404" max="6404" width="12.33203125" style="4" customWidth="1"/>
    <col min="6405" max="6405" width="11" style="4" customWidth="1"/>
    <col min="6406" max="6406" width="10.5546875" style="4" customWidth="1"/>
    <col min="6407" max="6657" width="9.109375" style="4"/>
    <col min="6658" max="6658" width="18" style="4" customWidth="1"/>
    <col min="6659" max="6659" width="12.88671875" style="4" customWidth="1"/>
    <col min="6660" max="6660" width="12.33203125" style="4" customWidth="1"/>
    <col min="6661" max="6661" width="11" style="4" customWidth="1"/>
    <col min="6662" max="6662" width="10.5546875" style="4" customWidth="1"/>
    <col min="6663" max="6913" width="9.109375" style="4"/>
    <col min="6914" max="6914" width="18" style="4" customWidth="1"/>
    <col min="6915" max="6915" width="12.88671875" style="4" customWidth="1"/>
    <col min="6916" max="6916" width="12.33203125" style="4" customWidth="1"/>
    <col min="6917" max="6917" width="11" style="4" customWidth="1"/>
    <col min="6918" max="6918" width="10.5546875" style="4" customWidth="1"/>
    <col min="6919" max="7169" width="9.109375" style="4"/>
    <col min="7170" max="7170" width="18" style="4" customWidth="1"/>
    <col min="7171" max="7171" width="12.88671875" style="4" customWidth="1"/>
    <col min="7172" max="7172" width="12.33203125" style="4" customWidth="1"/>
    <col min="7173" max="7173" width="11" style="4" customWidth="1"/>
    <col min="7174" max="7174" width="10.5546875" style="4" customWidth="1"/>
    <col min="7175" max="7425" width="9.109375" style="4"/>
    <col min="7426" max="7426" width="18" style="4" customWidth="1"/>
    <col min="7427" max="7427" width="12.88671875" style="4" customWidth="1"/>
    <col min="7428" max="7428" width="12.33203125" style="4" customWidth="1"/>
    <col min="7429" max="7429" width="11" style="4" customWidth="1"/>
    <col min="7430" max="7430" width="10.5546875" style="4" customWidth="1"/>
    <col min="7431" max="7681" width="9.109375" style="4"/>
    <col min="7682" max="7682" width="18" style="4" customWidth="1"/>
    <col min="7683" max="7683" width="12.88671875" style="4" customWidth="1"/>
    <col min="7684" max="7684" width="12.33203125" style="4" customWidth="1"/>
    <col min="7685" max="7685" width="11" style="4" customWidth="1"/>
    <col min="7686" max="7686" width="10.5546875" style="4" customWidth="1"/>
    <col min="7687" max="7937" width="9.109375" style="4"/>
    <col min="7938" max="7938" width="18" style="4" customWidth="1"/>
    <col min="7939" max="7939" width="12.88671875" style="4" customWidth="1"/>
    <col min="7940" max="7940" width="12.33203125" style="4" customWidth="1"/>
    <col min="7941" max="7941" width="11" style="4" customWidth="1"/>
    <col min="7942" max="7942" width="10.5546875" style="4" customWidth="1"/>
    <col min="7943" max="8193" width="9.109375" style="4"/>
    <col min="8194" max="8194" width="18" style="4" customWidth="1"/>
    <col min="8195" max="8195" width="12.88671875" style="4" customWidth="1"/>
    <col min="8196" max="8196" width="12.33203125" style="4" customWidth="1"/>
    <col min="8197" max="8197" width="11" style="4" customWidth="1"/>
    <col min="8198" max="8198" width="10.5546875" style="4" customWidth="1"/>
    <col min="8199" max="8449" width="9.109375" style="4"/>
    <col min="8450" max="8450" width="18" style="4" customWidth="1"/>
    <col min="8451" max="8451" width="12.88671875" style="4" customWidth="1"/>
    <col min="8452" max="8452" width="12.33203125" style="4" customWidth="1"/>
    <col min="8453" max="8453" width="11" style="4" customWidth="1"/>
    <col min="8454" max="8454" width="10.5546875" style="4" customWidth="1"/>
    <col min="8455" max="8705" width="9.109375" style="4"/>
    <col min="8706" max="8706" width="18" style="4" customWidth="1"/>
    <col min="8707" max="8707" width="12.88671875" style="4" customWidth="1"/>
    <col min="8708" max="8708" width="12.33203125" style="4" customWidth="1"/>
    <col min="8709" max="8709" width="11" style="4" customWidth="1"/>
    <col min="8710" max="8710" width="10.5546875" style="4" customWidth="1"/>
    <col min="8711" max="8961" width="9.109375" style="4"/>
    <col min="8962" max="8962" width="18" style="4" customWidth="1"/>
    <col min="8963" max="8963" width="12.88671875" style="4" customWidth="1"/>
    <col min="8964" max="8964" width="12.33203125" style="4" customWidth="1"/>
    <col min="8965" max="8965" width="11" style="4" customWidth="1"/>
    <col min="8966" max="8966" width="10.5546875" style="4" customWidth="1"/>
    <col min="8967" max="9217" width="9.109375" style="4"/>
    <col min="9218" max="9218" width="18" style="4" customWidth="1"/>
    <col min="9219" max="9219" width="12.88671875" style="4" customWidth="1"/>
    <col min="9220" max="9220" width="12.33203125" style="4" customWidth="1"/>
    <col min="9221" max="9221" width="11" style="4" customWidth="1"/>
    <col min="9222" max="9222" width="10.5546875" style="4" customWidth="1"/>
    <col min="9223" max="9473" width="9.109375" style="4"/>
    <col min="9474" max="9474" width="18" style="4" customWidth="1"/>
    <col min="9475" max="9475" width="12.88671875" style="4" customWidth="1"/>
    <col min="9476" max="9476" width="12.33203125" style="4" customWidth="1"/>
    <col min="9477" max="9477" width="11" style="4" customWidth="1"/>
    <col min="9478" max="9478" width="10.5546875" style="4" customWidth="1"/>
    <col min="9479" max="9729" width="9.109375" style="4"/>
    <col min="9730" max="9730" width="18" style="4" customWidth="1"/>
    <col min="9731" max="9731" width="12.88671875" style="4" customWidth="1"/>
    <col min="9732" max="9732" width="12.33203125" style="4" customWidth="1"/>
    <col min="9733" max="9733" width="11" style="4" customWidth="1"/>
    <col min="9734" max="9734" width="10.5546875" style="4" customWidth="1"/>
    <col min="9735" max="9985" width="9.109375" style="4"/>
    <col min="9986" max="9986" width="18" style="4" customWidth="1"/>
    <col min="9987" max="9987" width="12.88671875" style="4" customWidth="1"/>
    <col min="9988" max="9988" width="12.33203125" style="4" customWidth="1"/>
    <col min="9989" max="9989" width="11" style="4" customWidth="1"/>
    <col min="9990" max="9990" width="10.5546875" style="4" customWidth="1"/>
    <col min="9991" max="10241" width="9.109375" style="4"/>
    <col min="10242" max="10242" width="18" style="4" customWidth="1"/>
    <col min="10243" max="10243" width="12.88671875" style="4" customWidth="1"/>
    <col min="10244" max="10244" width="12.33203125" style="4" customWidth="1"/>
    <col min="10245" max="10245" width="11" style="4" customWidth="1"/>
    <col min="10246" max="10246" width="10.5546875" style="4" customWidth="1"/>
    <col min="10247" max="10497" width="9.109375" style="4"/>
    <col min="10498" max="10498" width="18" style="4" customWidth="1"/>
    <col min="10499" max="10499" width="12.88671875" style="4" customWidth="1"/>
    <col min="10500" max="10500" width="12.33203125" style="4" customWidth="1"/>
    <col min="10501" max="10501" width="11" style="4" customWidth="1"/>
    <col min="10502" max="10502" width="10.5546875" style="4" customWidth="1"/>
    <col min="10503" max="10753" width="9.109375" style="4"/>
    <col min="10754" max="10754" width="18" style="4" customWidth="1"/>
    <col min="10755" max="10755" width="12.88671875" style="4" customWidth="1"/>
    <col min="10756" max="10756" width="12.33203125" style="4" customWidth="1"/>
    <col min="10757" max="10757" width="11" style="4" customWidth="1"/>
    <col min="10758" max="10758" width="10.5546875" style="4" customWidth="1"/>
    <col min="10759" max="11009" width="9.109375" style="4"/>
    <col min="11010" max="11010" width="18" style="4" customWidth="1"/>
    <col min="11011" max="11011" width="12.88671875" style="4" customWidth="1"/>
    <col min="11012" max="11012" width="12.33203125" style="4" customWidth="1"/>
    <col min="11013" max="11013" width="11" style="4" customWidth="1"/>
    <col min="11014" max="11014" width="10.5546875" style="4" customWidth="1"/>
    <col min="11015" max="11265" width="9.109375" style="4"/>
    <col min="11266" max="11266" width="18" style="4" customWidth="1"/>
    <col min="11267" max="11267" width="12.88671875" style="4" customWidth="1"/>
    <col min="11268" max="11268" width="12.33203125" style="4" customWidth="1"/>
    <col min="11269" max="11269" width="11" style="4" customWidth="1"/>
    <col min="11270" max="11270" width="10.5546875" style="4" customWidth="1"/>
    <col min="11271" max="11521" width="9.109375" style="4"/>
    <col min="11522" max="11522" width="18" style="4" customWidth="1"/>
    <col min="11523" max="11523" width="12.88671875" style="4" customWidth="1"/>
    <col min="11524" max="11524" width="12.33203125" style="4" customWidth="1"/>
    <col min="11525" max="11525" width="11" style="4" customWidth="1"/>
    <col min="11526" max="11526" width="10.5546875" style="4" customWidth="1"/>
    <col min="11527" max="11777" width="9.109375" style="4"/>
    <col min="11778" max="11778" width="18" style="4" customWidth="1"/>
    <col min="11779" max="11779" width="12.88671875" style="4" customWidth="1"/>
    <col min="11780" max="11780" width="12.33203125" style="4" customWidth="1"/>
    <col min="11781" max="11781" width="11" style="4" customWidth="1"/>
    <col min="11782" max="11782" width="10.5546875" style="4" customWidth="1"/>
    <col min="11783" max="12033" width="9.109375" style="4"/>
    <col min="12034" max="12034" width="18" style="4" customWidth="1"/>
    <col min="12035" max="12035" width="12.88671875" style="4" customWidth="1"/>
    <col min="12036" max="12036" width="12.33203125" style="4" customWidth="1"/>
    <col min="12037" max="12037" width="11" style="4" customWidth="1"/>
    <col min="12038" max="12038" width="10.5546875" style="4" customWidth="1"/>
    <col min="12039" max="12289" width="9.109375" style="4"/>
    <col min="12290" max="12290" width="18" style="4" customWidth="1"/>
    <col min="12291" max="12291" width="12.88671875" style="4" customWidth="1"/>
    <col min="12292" max="12292" width="12.33203125" style="4" customWidth="1"/>
    <col min="12293" max="12293" width="11" style="4" customWidth="1"/>
    <col min="12294" max="12294" width="10.5546875" style="4" customWidth="1"/>
    <col min="12295" max="12545" width="9.109375" style="4"/>
    <col min="12546" max="12546" width="18" style="4" customWidth="1"/>
    <col min="12547" max="12547" width="12.88671875" style="4" customWidth="1"/>
    <col min="12548" max="12548" width="12.33203125" style="4" customWidth="1"/>
    <col min="12549" max="12549" width="11" style="4" customWidth="1"/>
    <col min="12550" max="12550" width="10.5546875" style="4" customWidth="1"/>
    <col min="12551" max="12801" width="9.109375" style="4"/>
    <col min="12802" max="12802" width="18" style="4" customWidth="1"/>
    <col min="12803" max="12803" width="12.88671875" style="4" customWidth="1"/>
    <col min="12804" max="12804" width="12.33203125" style="4" customWidth="1"/>
    <col min="12805" max="12805" width="11" style="4" customWidth="1"/>
    <col min="12806" max="12806" width="10.5546875" style="4" customWidth="1"/>
    <col min="12807" max="13057" width="9.109375" style="4"/>
    <col min="13058" max="13058" width="18" style="4" customWidth="1"/>
    <col min="13059" max="13059" width="12.88671875" style="4" customWidth="1"/>
    <col min="13060" max="13060" width="12.33203125" style="4" customWidth="1"/>
    <col min="13061" max="13061" width="11" style="4" customWidth="1"/>
    <col min="13062" max="13062" width="10.5546875" style="4" customWidth="1"/>
    <col min="13063" max="13313" width="9.109375" style="4"/>
    <col min="13314" max="13314" width="18" style="4" customWidth="1"/>
    <col min="13315" max="13315" width="12.88671875" style="4" customWidth="1"/>
    <col min="13316" max="13316" width="12.33203125" style="4" customWidth="1"/>
    <col min="13317" max="13317" width="11" style="4" customWidth="1"/>
    <col min="13318" max="13318" width="10.5546875" style="4" customWidth="1"/>
    <col min="13319" max="13569" width="9.109375" style="4"/>
    <col min="13570" max="13570" width="18" style="4" customWidth="1"/>
    <col min="13571" max="13571" width="12.88671875" style="4" customWidth="1"/>
    <col min="13572" max="13572" width="12.33203125" style="4" customWidth="1"/>
    <col min="13573" max="13573" width="11" style="4" customWidth="1"/>
    <col min="13574" max="13574" width="10.5546875" style="4" customWidth="1"/>
    <col min="13575" max="13825" width="9.109375" style="4"/>
    <col min="13826" max="13826" width="18" style="4" customWidth="1"/>
    <col min="13827" max="13827" width="12.88671875" style="4" customWidth="1"/>
    <col min="13828" max="13828" width="12.33203125" style="4" customWidth="1"/>
    <col min="13829" max="13829" width="11" style="4" customWidth="1"/>
    <col min="13830" max="13830" width="10.5546875" style="4" customWidth="1"/>
    <col min="13831" max="14081" width="9.109375" style="4"/>
    <col min="14082" max="14082" width="18" style="4" customWidth="1"/>
    <col min="14083" max="14083" width="12.88671875" style="4" customWidth="1"/>
    <col min="14084" max="14084" width="12.33203125" style="4" customWidth="1"/>
    <col min="14085" max="14085" width="11" style="4" customWidth="1"/>
    <col min="14086" max="14086" width="10.5546875" style="4" customWidth="1"/>
    <col min="14087" max="14337" width="9.109375" style="4"/>
    <col min="14338" max="14338" width="18" style="4" customWidth="1"/>
    <col min="14339" max="14339" width="12.88671875" style="4" customWidth="1"/>
    <col min="14340" max="14340" width="12.33203125" style="4" customWidth="1"/>
    <col min="14341" max="14341" width="11" style="4" customWidth="1"/>
    <col min="14342" max="14342" width="10.5546875" style="4" customWidth="1"/>
    <col min="14343" max="14593" width="9.109375" style="4"/>
    <col min="14594" max="14594" width="18" style="4" customWidth="1"/>
    <col min="14595" max="14595" width="12.88671875" style="4" customWidth="1"/>
    <col min="14596" max="14596" width="12.33203125" style="4" customWidth="1"/>
    <col min="14597" max="14597" width="11" style="4" customWidth="1"/>
    <col min="14598" max="14598" width="10.5546875" style="4" customWidth="1"/>
    <col min="14599" max="14849" width="9.109375" style="4"/>
    <col min="14850" max="14850" width="18" style="4" customWidth="1"/>
    <col min="14851" max="14851" width="12.88671875" style="4" customWidth="1"/>
    <col min="14852" max="14852" width="12.33203125" style="4" customWidth="1"/>
    <col min="14853" max="14853" width="11" style="4" customWidth="1"/>
    <col min="14854" max="14854" width="10.5546875" style="4" customWidth="1"/>
    <col min="14855" max="15105" width="9.109375" style="4"/>
    <col min="15106" max="15106" width="18" style="4" customWidth="1"/>
    <col min="15107" max="15107" width="12.88671875" style="4" customWidth="1"/>
    <col min="15108" max="15108" width="12.33203125" style="4" customWidth="1"/>
    <col min="15109" max="15109" width="11" style="4" customWidth="1"/>
    <col min="15110" max="15110" width="10.5546875" style="4" customWidth="1"/>
    <col min="15111" max="15361" width="9.109375" style="4"/>
    <col min="15362" max="15362" width="18" style="4" customWidth="1"/>
    <col min="15363" max="15363" width="12.88671875" style="4" customWidth="1"/>
    <col min="15364" max="15364" width="12.33203125" style="4" customWidth="1"/>
    <col min="15365" max="15365" width="11" style="4" customWidth="1"/>
    <col min="15366" max="15366" width="10.5546875" style="4" customWidth="1"/>
    <col min="15367" max="15617" width="9.109375" style="4"/>
    <col min="15618" max="15618" width="18" style="4" customWidth="1"/>
    <col min="15619" max="15619" width="12.88671875" style="4" customWidth="1"/>
    <col min="15620" max="15620" width="12.33203125" style="4" customWidth="1"/>
    <col min="15621" max="15621" width="11" style="4" customWidth="1"/>
    <col min="15622" max="15622" width="10.5546875" style="4" customWidth="1"/>
    <col min="15623" max="15873" width="9.109375" style="4"/>
    <col min="15874" max="15874" width="18" style="4" customWidth="1"/>
    <col min="15875" max="15875" width="12.88671875" style="4" customWidth="1"/>
    <col min="15876" max="15876" width="12.33203125" style="4" customWidth="1"/>
    <col min="15877" max="15877" width="11" style="4" customWidth="1"/>
    <col min="15878" max="15878" width="10.5546875" style="4" customWidth="1"/>
    <col min="15879" max="16129" width="9.109375" style="4"/>
    <col min="16130" max="16130" width="18" style="4" customWidth="1"/>
    <col min="16131" max="16131" width="12.88671875" style="4" customWidth="1"/>
    <col min="16132" max="16132" width="12.33203125" style="4" customWidth="1"/>
    <col min="16133" max="16133" width="11" style="4" customWidth="1"/>
    <col min="16134" max="16134" width="10.5546875" style="4" customWidth="1"/>
    <col min="16135" max="16384" width="9.109375" style="4"/>
  </cols>
  <sheetData>
    <row r="1" spans="1:7">
      <c r="G1" s="1578" t="s">
        <v>73</v>
      </c>
    </row>
    <row r="2" spans="1:7" ht="33.75" customHeight="1">
      <c r="A2" s="45" t="s">
        <v>180</v>
      </c>
      <c r="B2" s="45"/>
      <c r="C2" s="45"/>
      <c r="D2" s="45"/>
      <c r="E2" s="45"/>
      <c r="F2" s="45"/>
      <c r="G2" s="45"/>
    </row>
    <row r="3" spans="1:7" ht="14.25" customHeight="1">
      <c r="A3" s="55" t="s">
        <v>1296</v>
      </c>
      <c r="B3" s="45"/>
      <c r="C3" s="45"/>
      <c r="D3" s="45"/>
      <c r="E3" s="45"/>
      <c r="F3" s="45"/>
      <c r="G3" s="45"/>
    </row>
    <row r="4" spans="1:7" ht="14.25" customHeight="1">
      <c r="A4" s="45"/>
      <c r="B4" s="1666"/>
      <c r="C4" s="1666"/>
      <c r="D4" s="1666"/>
      <c r="E4" s="1666"/>
      <c r="F4" s="1666"/>
      <c r="G4" s="1659" t="s">
        <v>1311</v>
      </c>
    </row>
    <row r="5" spans="1:7" ht="66">
      <c r="A5" s="1920" t="s">
        <v>2</v>
      </c>
      <c r="B5" s="1920" t="s">
        <v>19</v>
      </c>
      <c r="C5" s="1920" t="s">
        <v>74</v>
      </c>
      <c r="D5" s="1920" t="s">
        <v>48</v>
      </c>
      <c r="E5" s="1763" t="s">
        <v>75</v>
      </c>
      <c r="F5" s="1763" t="s">
        <v>76</v>
      </c>
      <c r="G5" s="1763" t="s">
        <v>53</v>
      </c>
    </row>
    <row r="6" spans="1:7">
      <c r="A6" s="1921"/>
      <c r="B6" s="1921"/>
      <c r="C6" s="1921"/>
      <c r="D6" s="1921"/>
      <c r="E6" s="1763" t="s">
        <v>77</v>
      </c>
      <c r="F6" s="1763" t="s">
        <v>78</v>
      </c>
      <c r="G6" s="1763" t="s">
        <v>56</v>
      </c>
    </row>
    <row r="7" spans="1:7">
      <c r="A7" s="1767">
        <v>1</v>
      </c>
      <c r="B7" s="1767">
        <f>+A7+1</f>
        <v>2</v>
      </c>
      <c r="C7" s="1767">
        <f>+B7+1</f>
        <v>3</v>
      </c>
      <c r="D7" s="1767">
        <f>+C7+1</f>
        <v>4</v>
      </c>
      <c r="E7" s="1767">
        <f>+D7+1</f>
        <v>5</v>
      </c>
      <c r="F7" s="1767">
        <f>+E7+1</f>
        <v>6</v>
      </c>
      <c r="G7" s="1767" t="s">
        <v>79</v>
      </c>
    </row>
    <row r="8" spans="1:7">
      <c r="A8" s="1922">
        <v>1</v>
      </c>
      <c r="B8" s="1927" t="s">
        <v>80</v>
      </c>
      <c r="C8" s="1927" t="s">
        <v>81</v>
      </c>
      <c r="D8" s="393">
        <v>1150</v>
      </c>
      <c r="E8" s="1764">
        <v>1000</v>
      </c>
      <c r="F8" s="696"/>
      <c r="G8" s="1765"/>
    </row>
    <row r="9" spans="1:7">
      <c r="A9" s="1922"/>
      <c r="B9" s="1927"/>
      <c r="C9" s="1927"/>
      <c r="D9" s="393">
        <v>750</v>
      </c>
      <c r="E9" s="1764">
        <v>600</v>
      </c>
      <c r="F9" s="696"/>
      <c r="G9" s="1765"/>
    </row>
    <row r="10" spans="1:7">
      <c r="A10" s="1922"/>
      <c r="B10" s="1927"/>
      <c r="C10" s="1927"/>
      <c r="D10" s="1765" t="s">
        <v>82</v>
      </c>
      <c r="E10" s="1764">
        <v>500</v>
      </c>
      <c r="F10" s="696"/>
      <c r="G10" s="1765"/>
    </row>
    <row r="11" spans="1:7">
      <c r="A11" s="1922"/>
      <c r="B11" s="1927"/>
      <c r="C11" s="1927"/>
      <c r="D11" s="1765">
        <v>330</v>
      </c>
      <c r="E11" s="1764">
        <v>250</v>
      </c>
      <c r="F11" s="696"/>
      <c r="G11" s="1765"/>
    </row>
    <row r="12" spans="1:7">
      <c r="A12" s="1922"/>
      <c r="B12" s="1927"/>
      <c r="C12" s="1927"/>
      <c r="D12" s="1765">
        <v>220</v>
      </c>
      <c r="E12" s="1764">
        <v>210</v>
      </c>
      <c r="F12" s="696">
        <v>1</v>
      </c>
      <c r="G12" s="403">
        <f>E12*F12</f>
        <v>210</v>
      </c>
    </row>
    <row r="13" spans="1:7">
      <c r="A13" s="1922"/>
      <c r="B13" s="1927"/>
      <c r="C13" s="1927"/>
      <c r="D13" s="1765" t="s">
        <v>83</v>
      </c>
      <c r="E13" s="1764">
        <v>105</v>
      </c>
      <c r="F13" s="697"/>
      <c r="G13" s="403">
        <f>E13*F13</f>
        <v>0</v>
      </c>
    </row>
    <row r="14" spans="1:7">
      <c r="A14" s="1922"/>
      <c r="B14" s="1927"/>
      <c r="C14" s="1927"/>
      <c r="D14" s="1765">
        <v>35</v>
      </c>
      <c r="E14" s="1764">
        <v>75</v>
      </c>
      <c r="F14" s="698"/>
      <c r="G14" s="403">
        <f>E14*F14</f>
        <v>0</v>
      </c>
    </row>
    <row r="15" spans="1:7" ht="12.75" customHeight="1">
      <c r="A15" s="1922">
        <v>2</v>
      </c>
      <c r="B15" s="1936" t="s">
        <v>84</v>
      </c>
      <c r="C15" s="1927" t="s">
        <v>85</v>
      </c>
      <c r="D15" s="393">
        <v>1150</v>
      </c>
      <c r="E15" s="1764">
        <v>60</v>
      </c>
      <c r="F15" s="698"/>
      <c r="G15" s="403"/>
    </row>
    <row r="16" spans="1:7">
      <c r="A16" s="1922"/>
      <c r="B16" s="1936"/>
      <c r="C16" s="1936"/>
      <c r="D16" s="393">
        <v>750</v>
      </c>
      <c r="E16" s="1764">
        <v>43</v>
      </c>
      <c r="F16" s="698"/>
      <c r="G16" s="403"/>
    </row>
    <row r="17" spans="1:7">
      <c r="A17" s="1922"/>
      <c r="B17" s="1936"/>
      <c r="C17" s="1936"/>
      <c r="D17" s="1765" t="s">
        <v>82</v>
      </c>
      <c r="E17" s="1764">
        <v>28</v>
      </c>
      <c r="F17" s="698"/>
      <c r="G17" s="403"/>
    </row>
    <row r="18" spans="1:7">
      <c r="A18" s="1922"/>
      <c r="B18" s="1936"/>
      <c r="C18" s="1936"/>
      <c r="D18" s="1765">
        <v>330</v>
      </c>
      <c r="E18" s="1764">
        <v>18</v>
      </c>
      <c r="F18" s="698"/>
      <c r="G18" s="403"/>
    </row>
    <row r="19" spans="1:7">
      <c r="A19" s="1922"/>
      <c r="B19" s="1936"/>
      <c r="C19" s="1936"/>
      <c r="D19" s="1765">
        <v>220</v>
      </c>
      <c r="E19" s="1764">
        <v>14</v>
      </c>
      <c r="F19" s="698">
        <v>2</v>
      </c>
      <c r="G19" s="403">
        <f>E19*F19</f>
        <v>28</v>
      </c>
    </row>
    <row r="20" spans="1:7">
      <c r="A20" s="1922"/>
      <c r="B20" s="1936"/>
      <c r="C20" s="1936"/>
      <c r="D20" s="1765" t="s">
        <v>83</v>
      </c>
      <c r="E20" s="1764">
        <v>7.8</v>
      </c>
      <c r="F20" s="697"/>
      <c r="G20" s="403">
        <f>E20*F20</f>
        <v>0</v>
      </c>
    </row>
    <row r="21" spans="1:7">
      <c r="A21" s="1922"/>
      <c r="B21" s="1936"/>
      <c r="C21" s="1936"/>
      <c r="D21" s="1765">
        <v>35</v>
      </c>
      <c r="E21" s="1764">
        <v>2.1</v>
      </c>
      <c r="F21" s="696"/>
      <c r="G21" s="403">
        <f>E21*F21</f>
        <v>0</v>
      </c>
    </row>
    <row r="22" spans="1:7">
      <c r="A22" s="1922"/>
      <c r="B22" s="1936"/>
      <c r="C22" s="1927"/>
      <c r="D22" s="404" t="s">
        <v>86</v>
      </c>
      <c r="E22" s="405">
        <v>1</v>
      </c>
      <c r="F22" s="1660">
        <f>22</f>
        <v>22</v>
      </c>
      <c r="G22" s="403">
        <f>E22*F22</f>
        <v>22</v>
      </c>
    </row>
    <row r="23" spans="1:7" ht="12.75" customHeight="1">
      <c r="A23" s="1922">
        <v>3</v>
      </c>
      <c r="B23" s="1936" t="s">
        <v>87</v>
      </c>
      <c r="C23" s="1927" t="s">
        <v>88</v>
      </c>
      <c r="D23" s="393">
        <v>1150</v>
      </c>
      <c r="E23" s="1765">
        <v>180</v>
      </c>
      <c r="F23" s="696"/>
      <c r="G23" s="1765"/>
    </row>
    <row r="24" spans="1:7">
      <c r="A24" s="1922"/>
      <c r="B24" s="1936"/>
      <c r="C24" s="1936"/>
      <c r="D24" s="393">
        <v>750</v>
      </c>
      <c r="E24" s="1765">
        <v>130</v>
      </c>
      <c r="F24" s="696"/>
      <c r="G24" s="1765"/>
    </row>
    <row r="25" spans="1:7">
      <c r="A25" s="1922"/>
      <c r="B25" s="1936"/>
      <c r="C25" s="1936"/>
      <c r="D25" s="1765" t="s">
        <v>82</v>
      </c>
      <c r="E25" s="1764">
        <v>88</v>
      </c>
      <c r="F25" s="696"/>
      <c r="G25" s="1765"/>
    </row>
    <row r="26" spans="1:7">
      <c r="A26" s="1922"/>
      <c r="B26" s="1936"/>
      <c r="C26" s="1936"/>
      <c r="D26" s="1765">
        <v>330</v>
      </c>
      <c r="E26" s="1764">
        <v>66</v>
      </c>
      <c r="F26" s="696"/>
      <c r="G26" s="1765"/>
    </row>
    <row r="27" spans="1:7">
      <c r="A27" s="1922"/>
      <c r="B27" s="1936"/>
      <c r="C27" s="1936"/>
      <c r="D27" s="1765">
        <v>220</v>
      </c>
      <c r="E27" s="1764">
        <v>43</v>
      </c>
      <c r="F27" s="696"/>
      <c r="G27" s="1765"/>
    </row>
    <row r="28" spans="1:7">
      <c r="A28" s="1922"/>
      <c r="B28" s="1936"/>
      <c r="C28" s="1936"/>
      <c r="D28" s="1765" t="s">
        <v>83</v>
      </c>
      <c r="E28" s="1764">
        <v>26</v>
      </c>
      <c r="F28" s="696"/>
      <c r="G28" s="1765"/>
    </row>
    <row r="29" spans="1:7">
      <c r="A29" s="1922"/>
      <c r="B29" s="1936"/>
      <c r="C29" s="1936"/>
      <c r="D29" s="1765">
        <v>35</v>
      </c>
      <c r="E29" s="1764">
        <v>11</v>
      </c>
      <c r="F29" s="696"/>
      <c r="G29" s="1765"/>
    </row>
    <row r="30" spans="1:7">
      <c r="A30" s="1922"/>
      <c r="B30" s="1936"/>
      <c r="C30" s="1927"/>
      <c r="D30" s="404" t="s">
        <v>86</v>
      </c>
      <c r="E30" s="1764">
        <v>5.5</v>
      </c>
      <c r="F30" s="1566">
        <f>6+3</f>
        <v>9</v>
      </c>
      <c r="G30" s="403">
        <f>E30*F30</f>
        <v>49.5</v>
      </c>
    </row>
    <row r="31" spans="1:7" ht="12.75" customHeight="1">
      <c r="A31" s="1922">
        <v>4</v>
      </c>
      <c r="B31" s="1927" t="s">
        <v>113</v>
      </c>
      <c r="C31" s="1927" t="s">
        <v>89</v>
      </c>
      <c r="D31" s="1765">
        <v>220</v>
      </c>
      <c r="E31" s="1765">
        <v>23</v>
      </c>
      <c r="F31" s="696"/>
      <c r="G31" s="1765"/>
    </row>
    <row r="32" spans="1:7">
      <c r="A32" s="1922"/>
      <c r="B32" s="1927"/>
      <c r="C32" s="1927"/>
      <c r="D32" s="1765" t="s">
        <v>83</v>
      </c>
      <c r="E32" s="1765">
        <v>14</v>
      </c>
      <c r="F32" s="696"/>
      <c r="G32" s="406">
        <f>E32*F32</f>
        <v>0</v>
      </c>
    </row>
    <row r="33" spans="1:10">
      <c r="A33" s="1922"/>
      <c r="B33" s="1927"/>
      <c r="C33" s="1927"/>
      <c r="D33" s="1765">
        <v>35</v>
      </c>
      <c r="E33" s="1765">
        <v>6.4</v>
      </c>
      <c r="F33" s="696"/>
      <c r="G33" s="1765"/>
    </row>
    <row r="34" spans="1:10">
      <c r="A34" s="1922"/>
      <c r="B34" s="1927"/>
      <c r="C34" s="1927"/>
      <c r="D34" s="404" t="s">
        <v>86</v>
      </c>
      <c r="E34" s="1765">
        <v>3.1</v>
      </c>
      <c r="F34" s="1567">
        <v>67</v>
      </c>
      <c r="G34" s="403">
        <f>E34*F34</f>
        <v>207.70000000000002</v>
      </c>
    </row>
    <row r="35" spans="1:10" ht="12.75" customHeight="1">
      <c r="A35" s="1922">
        <v>5</v>
      </c>
      <c r="B35" s="1927" t="s">
        <v>90</v>
      </c>
      <c r="C35" s="1927" t="s">
        <v>85</v>
      </c>
      <c r="D35" s="1765" t="s">
        <v>82</v>
      </c>
      <c r="E35" s="1764">
        <v>35</v>
      </c>
      <c r="F35" s="696"/>
      <c r="G35" s="1765"/>
    </row>
    <row r="36" spans="1:10">
      <c r="A36" s="1922"/>
      <c r="B36" s="1927"/>
      <c r="C36" s="1927"/>
      <c r="D36" s="1765">
        <v>330</v>
      </c>
      <c r="E36" s="1765">
        <v>24</v>
      </c>
      <c r="F36" s="696"/>
      <c r="G36" s="1765"/>
    </row>
    <row r="37" spans="1:10">
      <c r="A37" s="1922"/>
      <c r="B37" s="1927"/>
      <c r="C37" s="1927"/>
      <c r="D37" s="1765">
        <v>220</v>
      </c>
      <c r="E37" s="1765">
        <v>19</v>
      </c>
      <c r="F37" s="696"/>
      <c r="G37" s="1765"/>
    </row>
    <row r="38" spans="1:10">
      <c r="A38" s="1922"/>
      <c r="B38" s="1927"/>
      <c r="C38" s="1927"/>
      <c r="D38" s="1765" t="s">
        <v>83</v>
      </c>
      <c r="E38" s="1765">
        <v>9.5</v>
      </c>
      <c r="F38" s="697"/>
      <c r="G38" s="403">
        <f>E38*F38</f>
        <v>0</v>
      </c>
    </row>
    <row r="39" spans="1:10">
      <c r="A39" s="1922"/>
      <c r="B39" s="1927"/>
      <c r="C39" s="1927"/>
      <c r="D39" s="1765">
        <v>35</v>
      </c>
      <c r="E39" s="1765">
        <v>4.7</v>
      </c>
      <c r="F39" s="696"/>
      <c r="G39" s="403">
        <f>E39*F39</f>
        <v>0</v>
      </c>
    </row>
    <row r="40" spans="1:10" ht="26.4">
      <c r="A40" s="1764">
        <v>6</v>
      </c>
      <c r="B40" s="1765" t="s">
        <v>91</v>
      </c>
      <c r="C40" s="1765" t="s">
        <v>89</v>
      </c>
      <c r="D40" s="407" t="s">
        <v>86</v>
      </c>
      <c r="E40" s="1765">
        <v>2.2999999999999998</v>
      </c>
      <c r="F40" s="697">
        <f>4+3</f>
        <v>7</v>
      </c>
      <c r="G40" s="406">
        <f>E40*F40</f>
        <v>16.099999999999998</v>
      </c>
    </row>
    <row r="41" spans="1:10" ht="39.6">
      <c r="A41" s="1764">
        <v>7</v>
      </c>
      <c r="B41" s="1765" t="s">
        <v>92</v>
      </c>
      <c r="C41" s="1765" t="s">
        <v>89</v>
      </c>
      <c r="D41" s="407" t="s">
        <v>86</v>
      </c>
      <c r="E41" s="1765">
        <v>26</v>
      </c>
      <c r="F41" s="696"/>
      <c r="G41" s="1765"/>
    </row>
    <row r="42" spans="1:10" ht="26.4">
      <c r="A42" s="1764">
        <v>8</v>
      </c>
      <c r="B42" s="1765" t="s">
        <v>93</v>
      </c>
      <c r="C42" s="1765" t="s">
        <v>89</v>
      </c>
      <c r="D42" s="407" t="s">
        <v>86</v>
      </c>
      <c r="E42" s="1765">
        <v>48</v>
      </c>
      <c r="F42" s="696"/>
      <c r="G42" s="1765"/>
    </row>
    <row r="43" spans="1:10" ht="12.75" customHeight="1">
      <c r="A43" s="1922">
        <v>9</v>
      </c>
      <c r="B43" s="1927" t="s">
        <v>94</v>
      </c>
      <c r="C43" s="1927" t="s">
        <v>95</v>
      </c>
      <c r="D43" s="1765">
        <v>35</v>
      </c>
      <c r="E43" s="1765">
        <v>2.4</v>
      </c>
      <c r="F43" s="696"/>
      <c r="G43" s="1765"/>
    </row>
    <row r="44" spans="1:10">
      <c r="A44" s="1922"/>
      <c r="B44" s="1927"/>
      <c r="C44" s="1927"/>
      <c r="D44" s="407" t="s">
        <v>86</v>
      </c>
      <c r="E44" s="1765">
        <v>2.4</v>
      </c>
      <c r="F44" s="696"/>
      <c r="G44" s="403">
        <f>E44*F44</f>
        <v>0</v>
      </c>
    </row>
    <row r="45" spans="1:10" ht="26.4">
      <c r="A45" s="1764">
        <v>10</v>
      </c>
      <c r="B45" s="1765" t="s">
        <v>96</v>
      </c>
      <c r="C45" s="1765" t="s">
        <v>97</v>
      </c>
      <c r="D45" s="407" t="s">
        <v>86</v>
      </c>
      <c r="E45" s="1765">
        <v>2.5</v>
      </c>
      <c r="F45" s="697"/>
      <c r="G45" s="406">
        <f>E45*F45</f>
        <v>0</v>
      </c>
    </row>
    <row r="46" spans="1:10" ht="26.4">
      <c r="A46" s="1764">
        <v>11</v>
      </c>
      <c r="B46" s="1765" t="s">
        <v>98</v>
      </c>
      <c r="C46" s="1765" t="s">
        <v>99</v>
      </c>
      <c r="D46" s="407" t="s">
        <v>86</v>
      </c>
      <c r="E46" s="1765">
        <v>2.2999999999999998</v>
      </c>
      <c r="F46" s="1568">
        <v>2</v>
      </c>
      <c r="G46" s="406">
        <f>E46*F46</f>
        <v>4.5999999999999996</v>
      </c>
    </row>
    <row r="47" spans="1:10" ht="26.4">
      <c r="A47" s="1764">
        <v>12</v>
      </c>
      <c r="B47" s="1765" t="s">
        <v>100</v>
      </c>
      <c r="C47" s="1765" t="s">
        <v>99</v>
      </c>
      <c r="D47" s="407" t="s">
        <v>86</v>
      </c>
      <c r="E47" s="1765">
        <v>3</v>
      </c>
      <c r="F47" s="1664">
        <f>11+2</f>
        <v>13</v>
      </c>
      <c r="G47" s="406">
        <f>E47*F47</f>
        <v>39</v>
      </c>
    </row>
    <row r="48" spans="1:10" ht="39.6">
      <c r="A48" s="1764">
        <v>13</v>
      </c>
      <c r="B48" s="1765" t="s">
        <v>810</v>
      </c>
      <c r="C48" s="1765" t="s">
        <v>101</v>
      </c>
      <c r="D48" s="1765">
        <v>35</v>
      </c>
      <c r="E48" s="1765">
        <v>3.5</v>
      </c>
      <c r="F48" s="696"/>
      <c r="G48" s="1765"/>
      <c r="J48" s="4">
        <f>SUM(G8:G48)</f>
        <v>576.90000000000009</v>
      </c>
    </row>
    <row r="49" spans="1:11">
      <c r="A49" s="1922" t="s">
        <v>102</v>
      </c>
      <c r="B49" s="1927" t="s">
        <v>103</v>
      </c>
      <c r="C49" s="1927"/>
      <c r="D49" s="1765" t="s">
        <v>226</v>
      </c>
      <c r="E49" s="403">
        <v>0</v>
      </c>
      <c r="F49" s="403">
        <v>0</v>
      </c>
      <c r="G49" s="403">
        <f>G12+G19</f>
        <v>238</v>
      </c>
    </row>
    <row r="50" spans="1:11">
      <c r="A50" s="1922"/>
      <c r="B50" s="1927"/>
      <c r="C50" s="1927"/>
      <c r="D50" s="1765" t="s">
        <v>30</v>
      </c>
      <c r="E50" s="403">
        <v>0</v>
      </c>
      <c r="F50" s="403">
        <v>0</v>
      </c>
      <c r="G50" s="403">
        <f>G14+G21+G22+G29+G30+G33+G34+G39+G40+G41+G42+G43+G44+G45+G46+G47+G48</f>
        <v>338.90000000000009</v>
      </c>
    </row>
    <row r="51" spans="1:11">
      <c r="A51" s="1922"/>
      <c r="B51" s="1927"/>
      <c r="C51" s="1927"/>
      <c r="D51" s="1765" t="s">
        <v>215</v>
      </c>
      <c r="E51" s="403">
        <v>0</v>
      </c>
      <c r="F51" s="403">
        <v>0</v>
      </c>
      <c r="G51" s="408">
        <v>0</v>
      </c>
      <c r="J51" s="64">
        <f>G49+G50+G51</f>
        <v>576.90000000000009</v>
      </c>
      <c r="K51" s="385">
        <f>SUMIF($D$8:$D$48,$D$22,$G$8:$G$48)+G14+G21+G39+G12+G19</f>
        <v>576.90000000000009</v>
      </c>
    </row>
    <row r="52" spans="1:11">
      <c r="A52" s="19"/>
      <c r="B52" s="20"/>
      <c r="C52" s="20"/>
      <c r="D52" s="20"/>
      <c r="E52" s="19"/>
      <c r="F52" s="19"/>
      <c r="G52" s="20"/>
    </row>
    <row r="53" spans="1:11">
      <c r="A53" s="4" t="s">
        <v>201</v>
      </c>
    </row>
    <row r="54" spans="1:11" ht="21.75" customHeight="1">
      <c r="A54" s="1934" t="s">
        <v>512</v>
      </c>
      <c r="B54" s="1934"/>
      <c r="C54" s="1934"/>
      <c r="D54" s="1934"/>
      <c r="E54" s="1934"/>
      <c r="F54" s="1934"/>
      <c r="G54" s="1934"/>
    </row>
    <row r="55" spans="1:11" ht="39.75" customHeight="1">
      <c r="A55" s="1934" t="s">
        <v>513</v>
      </c>
      <c r="B55" s="1934"/>
      <c r="C55" s="1934"/>
      <c r="D55" s="1934"/>
      <c r="E55" s="1934"/>
      <c r="F55" s="1934"/>
      <c r="G55" s="1934"/>
    </row>
    <row r="56" spans="1:11" ht="31.5" customHeight="1">
      <c r="A56" s="1935" t="s">
        <v>514</v>
      </c>
      <c r="B56" s="1935"/>
      <c r="C56" s="1935"/>
      <c r="D56" s="1935"/>
      <c r="E56" s="1935"/>
      <c r="F56" s="1935"/>
      <c r="G56" s="1935"/>
    </row>
    <row r="57" spans="1:11" ht="41.25" customHeight="1">
      <c r="A57" s="1934" t="s">
        <v>515</v>
      </c>
      <c r="B57" s="1934"/>
      <c r="C57" s="1934"/>
      <c r="D57" s="1934"/>
      <c r="E57" s="1934"/>
      <c r="F57" s="1934"/>
      <c r="G57" s="1934"/>
    </row>
    <row r="58" spans="1:11" ht="46.5" customHeight="1">
      <c r="A58" s="1934" t="s">
        <v>516</v>
      </c>
      <c r="B58" s="1934"/>
      <c r="C58" s="1934"/>
      <c r="D58" s="1934"/>
      <c r="E58" s="1934"/>
      <c r="F58" s="1934"/>
      <c r="G58" s="1934"/>
    </row>
    <row r="59" spans="1:11" ht="45.75" customHeight="1">
      <c r="A59" s="1934" t="s">
        <v>517</v>
      </c>
      <c r="B59" s="1934"/>
      <c r="C59" s="1934"/>
      <c r="D59" s="1934"/>
      <c r="E59" s="1934"/>
      <c r="F59" s="1934"/>
      <c r="G59" s="1934"/>
    </row>
    <row r="60" spans="1:11" ht="27.75" customHeight="1">
      <c r="A60" s="1934" t="s">
        <v>518</v>
      </c>
      <c r="B60" s="1934"/>
      <c r="C60" s="1934"/>
      <c r="D60" s="1934"/>
      <c r="E60" s="1934"/>
      <c r="F60" s="1934"/>
      <c r="G60" s="1934"/>
    </row>
    <row r="61" spans="1:11" ht="28.5" customHeight="1">
      <c r="A61" s="1934" t="s">
        <v>519</v>
      </c>
      <c r="B61" s="1934"/>
      <c r="C61" s="1934"/>
      <c r="D61" s="1934"/>
      <c r="E61" s="1934"/>
      <c r="F61" s="1934"/>
      <c r="G61" s="1934"/>
    </row>
    <row r="62" spans="1:11" ht="33.75" customHeight="1">
      <c r="A62" s="1934" t="s">
        <v>520</v>
      </c>
      <c r="B62" s="1934"/>
      <c r="C62" s="1934"/>
      <c r="D62" s="1934"/>
      <c r="E62" s="1934"/>
      <c r="F62" s="1934"/>
      <c r="G62" s="1934"/>
    </row>
    <row r="63" spans="1:11" s="1777" customFormat="1" ht="23.25" customHeight="1">
      <c r="A63" s="1774" t="s">
        <v>632</v>
      </c>
      <c r="B63" s="1775"/>
      <c r="C63" s="1776"/>
      <c r="H63" s="1778"/>
    </row>
    <row r="64" spans="1:11" s="1777" customFormat="1" ht="15" customHeight="1">
      <c r="A64" s="1774" t="s">
        <v>662</v>
      </c>
      <c r="B64" s="1779"/>
      <c r="C64" s="1776"/>
      <c r="G64" s="1780" t="s">
        <v>634</v>
      </c>
    </row>
    <row r="65" spans="1:7" s="22" customFormat="1"/>
    <row r="66" spans="1:7" s="22" customFormat="1">
      <c r="A66" s="43"/>
    </row>
    <row r="67" spans="1:7" s="22" customFormat="1">
      <c r="A67" s="43"/>
    </row>
    <row r="68" spans="1:7" ht="58.5" customHeight="1">
      <c r="A68" s="1934"/>
      <c r="B68" s="1934"/>
      <c r="C68" s="1934"/>
      <c r="D68" s="1934"/>
      <c r="E68" s="1934"/>
      <c r="F68" s="1934"/>
      <c r="G68" s="1934"/>
    </row>
    <row r="69" spans="1:7" ht="53.25" customHeight="1">
      <c r="A69" s="1934"/>
      <c r="B69" s="1934"/>
      <c r="C69" s="1934"/>
      <c r="D69" s="1934"/>
      <c r="E69" s="1934"/>
      <c r="F69" s="1934"/>
      <c r="G69" s="1934"/>
    </row>
    <row r="70" spans="1:7" ht="31.5" customHeight="1">
      <c r="A70" s="1934"/>
      <c r="B70" s="1934"/>
      <c r="C70" s="1934"/>
      <c r="D70" s="1934"/>
      <c r="E70" s="1934"/>
      <c r="F70" s="1934"/>
      <c r="G70" s="1934"/>
    </row>
    <row r="71" spans="1:7" ht="27.75" customHeight="1">
      <c r="A71" s="1933"/>
      <c r="B71" s="1933"/>
      <c r="C71" s="1933"/>
      <c r="D71" s="1933"/>
      <c r="E71" s="1933"/>
      <c r="F71" s="1933"/>
      <c r="G71" s="1933"/>
    </row>
  </sheetData>
  <mergeCells count="37">
    <mergeCell ref="A5:A6"/>
    <mergeCell ref="B5:B6"/>
    <mergeCell ref="C5:C6"/>
    <mergeCell ref="D5:D6"/>
    <mergeCell ref="A8:A14"/>
    <mergeCell ref="B8:B14"/>
    <mergeCell ref="C8:C14"/>
    <mergeCell ref="A15:A22"/>
    <mergeCell ref="B15:B22"/>
    <mergeCell ref="C15:C22"/>
    <mergeCell ref="A23:A30"/>
    <mergeCell ref="B23:B30"/>
    <mergeCell ref="C23:C30"/>
    <mergeCell ref="A54:G54"/>
    <mergeCell ref="A31:A34"/>
    <mergeCell ref="B31:B34"/>
    <mergeCell ref="C31:C34"/>
    <mergeCell ref="A35:A39"/>
    <mergeCell ref="B35:B39"/>
    <mergeCell ref="C35:C39"/>
    <mergeCell ref="A43:A44"/>
    <mergeCell ref="B43:B44"/>
    <mergeCell ref="C43:C44"/>
    <mergeCell ref="A49:A51"/>
    <mergeCell ref="B49:C51"/>
    <mergeCell ref="A71:G71"/>
    <mergeCell ref="A55:G55"/>
    <mergeCell ref="A56:G56"/>
    <mergeCell ref="A57:G57"/>
    <mergeCell ref="A58:G58"/>
    <mergeCell ref="A59:G59"/>
    <mergeCell ref="A60:G60"/>
    <mergeCell ref="A61:G61"/>
    <mergeCell ref="A62:G62"/>
    <mergeCell ref="A68:G68"/>
    <mergeCell ref="A69:G69"/>
    <mergeCell ref="A70:G70"/>
  </mergeCells>
  <printOptions horizontalCentered="1"/>
  <pageMargins left="0.78740157480314965" right="0.78740157480314965" top="0.59055118110236227" bottom="0.11811023622047245" header="0.51181102362204722" footer="3.937007874015748E-2"/>
  <pageSetup paperSize="9" scale="87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4"/>
  <sheetViews>
    <sheetView workbookViewId="0">
      <selection activeCell="K8" sqref="K8"/>
    </sheetView>
  </sheetViews>
  <sheetFormatPr defaultRowHeight="14.4" outlineLevelRow="1"/>
  <cols>
    <col min="1" max="1" width="9.109375" style="1697"/>
    <col min="2" max="2" width="13.33203125" style="1697" customWidth="1"/>
    <col min="3" max="3" width="8.5546875" style="1754" customWidth="1"/>
    <col min="4" max="4" width="13.33203125" style="1697" customWidth="1"/>
    <col min="5" max="5" width="8.5546875" style="1697" customWidth="1"/>
    <col min="6" max="6" width="13.33203125" style="1697" customWidth="1"/>
    <col min="7" max="7" width="8.5546875" style="1697" customWidth="1"/>
    <col min="8" max="257" width="9.109375" style="1697"/>
    <col min="258" max="258" width="13.33203125" style="1697" customWidth="1"/>
    <col min="259" max="259" width="8.5546875" style="1697" customWidth="1"/>
    <col min="260" max="260" width="13.33203125" style="1697" customWidth="1"/>
    <col min="261" max="261" width="8.5546875" style="1697" customWidth="1"/>
    <col min="262" max="262" width="13.33203125" style="1697" customWidth="1"/>
    <col min="263" max="263" width="8.5546875" style="1697" customWidth="1"/>
    <col min="264" max="513" width="9.109375" style="1697"/>
    <col min="514" max="514" width="13.33203125" style="1697" customWidth="1"/>
    <col min="515" max="515" width="8.5546875" style="1697" customWidth="1"/>
    <col min="516" max="516" width="13.33203125" style="1697" customWidth="1"/>
    <col min="517" max="517" width="8.5546875" style="1697" customWidth="1"/>
    <col min="518" max="518" width="13.33203125" style="1697" customWidth="1"/>
    <col min="519" max="519" width="8.5546875" style="1697" customWidth="1"/>
    <col min="520" max="769" width="9.109375" style="1697"/>
    <col min="770" max="770" width="13.33203125" style="1697" customWidth="1"/>
    <col min="771" max="771" width="8.5546875" style="1697" customWidth="1"/>
    <col min="772" max="772" width="13.33203125" style="1697" customWidth="1"/>
    <col min="773" max="773" width="8.5546875" style="1697" customWidth="1"/>
    <col min="774" max="774" width="13.33203125" style="1697" customWidth="1"/>
    <col min="775" max="775" width="8.5546875" style="1697" customWidth="1"/>
    <col min="776" max="1025" width="9.109375" style="1697"/>
    <col min="1026" max="1026" width="13.33203125" style="1697" customWidth="1"/>
    <col min="1027" max="1027" width="8.5546875" style="1697" customWidth="1"/>
    <col min="1028" max="1028" width="13.33203125" style="1697" customWidth="1"/>
    <col min="1029" max="1029" width="8.5546875" style="1697" customWidth="1"/>
    <col min="1030" max="1030" width="13.33203125" style="1697" customWidth="1"/>
    <col min="1031" max="1031" width="8.5546875" style="1697" customWidth="1"/>
    <col min="1032" max="1281" width="9.109375" style="1697"/>
    <col min="1282" max="1282" width="13.33203125" style="1697" customWidth="1"/>
    <col min="1283" max="1283" width="8.5546875" style="1697" customWidth="1"/>
    <col min="1284" max="1284" width="13.33203125" style="1697" customWidth="1"/>
    <col min="1285" max="1285" width="8.5546875" style="1697" customWidth="1"/>
    <col min="1286" max="1286" width="13.33203125" style="1697" customWidth="1"/>
    <col min="1287" max="1287" width="8.5546875" style="1697" customWidth="1"/>
    <col min="1288" max="1537" width="9.109375" style="1697"/>
    <col min="1538" max="1538" width="13.33203125" style="1697" customWidth="1"/>
    <col min="1539" max="1539" width="8.5546875" style="1697" customWidth="1"/>
    <col min="1540" max="1540" width="13.33203125" style="1697" customWidth="1"/>
    <col min="1541" max="1541" width="8.5546875" style="1697" customWidth="1"/>
    <col min="1542" max="1542" width="13.33203125" style="1697" customWidth="1"/>
    <col min="1543" max="1543" width="8.5546875" style="1697" customWidth="1"/>
    <col min="1544" max="1793" width="9.109375" style="1697"/>
    <col min="1794" max="1794" width="13.33203125" style="1697" customWidth="1"/>
    <col min="1795" max="1795" width="8.5546875" style="1697" customWidth="1"/>
    <col min="1796" max="1796" width="13.33203125" style="1697" customWidth="1"/>
    <col min="1797" max="1797" width="8.5546875" style="1697" customWidth="1"/>
    <col min="1798" max="1798" width="13.33203125" style="1697" customWidth="1"/>
    <col min="1799" max="1799" width="8.5546875" style="1697" customWidth="1"/>
    <col min="1800" max="2049" width="9.109375" style="1697"/>
    <col min="2050" max="2050" width="13.33203125" style="1697" customWidth="1"/>
    <col min="2051" max="2051" width="8.5546875" style="1697" customWidth="1"/>
    <col min="2052" max="2052" width="13.33203125" style="1697" customWidth="1"/>
    <col min="2053" max="2053" width="8.5546875" style="1697" customWidth="1"/>
    <col min="2054" max="2054" width="13.33203125" style="1697" customWidth="1"/>
    <col min="2055" max="2055" width="8.5546875" style="1697" customWidth="1"/>
    <col min="2056" max="2305" width="9.109375" style="1697"/>
    <col min="2306" max="2306" width="13.33203125" style="1697" customWidth="1"/>
    <col min="2307" max="2307" width="8.5546875" style="1697" customWidth="1"/>
    <col min="2308" max="2308" width="13.33203125" style="1697" customWidth="1"/>
    <col min="2309" max="2309" width="8.5546875" style="1697" customWidth="1"/>
    <col min="2310" max="2310" width="13.33203125" style="1697" customWidth="1"/>
    <col min="2311" max="2311" width="8.5546875" style="1697" customWidth="1"/>
    <col min="2312" max="2561" width="9.109375" style="1697"/>
    <col min="2562" max="2562" width="13.33203125" style="1697" customWidth="1"/>
    <col min="2563" max="2563" width="8.5546875" style="1697" customWidth="1"/>
    <col min="2564" max="2564" width="13.33203125" style="1697" customWidth="1"/>
    <col min="2565" max="2565" width="8.5546875" style="1697" customWidth="1"/>
    <col min="2566" max="2566" width="13.33203125" style="1697" customWidth="1"/>
    <col min="2567" max="2567" width="8.5546875" style="1697" customWidth="1"/>
    <col min="2568" max="2817" width="9.109375" style="1697"/>
    <col min="2818" max="2818" width="13.33203125" style="1697" customWidth="1"/>
    <col min="2819" max="2819" width="8.5546875" style="1697" customWidth="1"/>
    <col min="2820" max="2820" width="13.33203125" style="1697" customWidth="1"/>
    <col min="2821" max="2821" width="8.5546875" style="1697" customWidth="1"/>
    <col min="2822" max="2822" width="13.33203125" style="1697" customWidth="1"/>
    <col min="2823" max="2823" width="8.5546875" style="1697" customWidth="1"/>
    <col min="2824" max="3073" width="9.109375" style="1697"/>
    <col min="3074" max="3074" width="13.33203125" style="1697" customWidth="1"/>
    <col min="3075" max="3075" width="8.5546875" style="1697" customWidth="1"/>
    <col min="3076" max="3076" width="13.33203125" style="1697" customWidth="1"/>
    <col min="3077" max="3077" width="8.5546875" style="1697" customWidth="1"/>
    <col min="3078" max="3078" width="13.33203125" style="1697" customWidth="1"/>
    <col min="3079" max="3079" width="8.5546875" style="1697" customWidth="1"/>
    <col min="3080" max="3329" width="9.109375" style="1697"/>
    <col min="3330" max="3330" width="13.33203125" style="1697" customWidth="1"/>
    <col min="3331" max="3331" width="8.5546875" style="1697" customWidth="1"/>
    <col min="3332" max="3332" width="13.33203125" style="1697" customWidth="1"/>
    <col min="3333" max="3333" width="8.5546875" style="1697" customWidth="1"/>
    <col min="3334" max="3334" width="13.33203125" style="1697" customWidth="1"/>
    <col min="3335" max="3335" width="8.5546875" style="1697" customWidth="1"/>
    <col min="3336" max="3585" width="9.109375" style="1697"/>
    <col min="3586" max="3586" width="13.33203125" style="1697" customWidth="1"/>
    <col min="3587" max="3587" width="8.5546875" style="1697" customWidth="1"/>
    <col min="3588" max="3588" width="13.33203125" style="1697" customWidth="1"/>
    <col min="3589" max="3589" width="8.5546875" style="1697" customWidth="1"/>
    <col min="3590" max="3590" width="13.33203125" style="1697" customWidth="1"/>
    <col min="3591" max="3591" width="8.5546875" style="1697" customWidth="1"/>
    <col min="3592" max="3841" width="9.109375" style="1697"/>
    <col min="3842" max="3842" width="13.33203125" style="1697" customWidth="1"/>
    <col min="3843" max="3843" width="8.5546875" style="1697" customWidth="1"/>
    <col min="3844" max="3844" width="13.33203125" style="1697" customWidth="1"/>
    <col min="3845" max="3845" width="8.5546875" style="1697" customWidth="1"/>
    <col min="3846" max="3846" width="13.33203125" style="1697" customWidth="1"/>
    <col min="3847" max="3847" width="8.5546875" style="1697" customWidth="1"/>
    <col min="3848" max="4097" width="9.109375" style="1697"/>
    <col min="4098" max="4098" width="13.33203125" style="1697" customWidth="1"/>
    <col min="4099" max="4099" width="8.5546875" style="1697" customWidth="1"/>
    <col min="4100" max="4100" width="13.33203125" style="1697" customWidth="1"/>
    <col min="4101" max="4101" width="8.5546875" style="1697" customWidth="1"/>
    <col min="4102" max="4102" width="13.33203125" style="1697" customWidth="1"/>
    <col min="4103" max="4103" width="8.5546875" style="1697" customWidth="1"/>
    <col min="4104" max="4353" width="9.109375" style="1697"/>
    <col min="4354" max="4354" width="13.33203125" style="1697" customWidth="1"/>
    <col min="4355" max="4355" width="8.5546875" style="1697" customWidth="1"/>
    <col min="4356" max="4356" width="13.33203125" style="1697" customWidth="1"/>
    <col min="4357" max="4357" width="8.5546875" style="1697" customWidth="1"/>
    <col min="4358" max="4358" width="13.33203125" style="1697" customWidth="1"/>
    <col min="4359" max="4359" width="8.5546875" style="1697" customWidth="1"/>
    <col min="4360" max="4609" width="9.109375" style="1697"/>
    <col min="4610" max="4610" width="13.33203125" style="1697" customWidth="1"/>
    <col min="4611" max="4611" width="8.5546875" style="1697" customWidth="1"/>
    <col min="4612" max="4612" width="13.33203125" style="1697" customWidth="1"/>
    <col min="4613" max="4613" width="8.5546875" style="1697" customWidth="1"/>
    <col min="4614" max="4614" width="13.33203125" style="1697" customWidth="1"/>
    <col min="4615" max="4615" width="8.5546875" style="1697" customWidth="1"/>
    <col min="4616" max="4865" width="9.109375" style="1697"/>
    <col min="4866" max="4866" width="13.33203125" style="1697" customWidth="1"/>
    <col min="4867" max="4867" width="8.5546875" style="1697" customWidth="1"/>
    <col min="4868" max="4868" width="13.33203125" style="1697" customWidth="1"/>
    <col min="4869" max="4869" width="8.5546875" style="1697" customWidth="1"/>
    <col min="4870" max="4870" width="13.33203125" style="1697" customWidth="1"/>
    <col min="4871" max="4871" width="8.5546875" style="1697" customWidth="1"/>
    <col min="4872" max="5121" width="9.109375" style="1697"/>
    <col min="5122" max="5122" width="13.33203125" style="1697" customWidth="1"/>
    <col min="5123" max="5123" width="8.5546875" style="1697" customWidth="1"/>
    <col min="5124" max="5124" width="13.33203125" style="1697" customWidth="1"/>
    <col min="5125" max="5125" width="8.5546875" style="1697" customWidth="1"/>
    <col min="5126" max="5126" width="13.33203125" style="1697" customWidth="1"/>
    <col min="5127" max="5127" width="8.5546875" style="1697" customWidth="1"/>
    <col min="5128" max="5377" width="9.109375" style="1697"/>
    <col min="5378" max="5378" width="13.33203125" style="1697" customWidth="1"/>
    <col min="5379" max="5379" width="8.5546875" style="1697" customWidth="1"/>
    <col min="5380" max="5380" width="13.33203125" style="1697" customWidth="1"/>
    <col min="5381" max="5381" width="8.5546875" style="1697" customWidth="1"/>
    <col min="5382" max="5382" width="13.33203125" style="1697" customWidth="1"/>
    <col min="5383" max="5383" width="8.5546875" style="1697" customWidth="1"/>
    <col min="5384" max="5633" width="9.109375" style="1697"/>
    <col min="5634" max="5634" width="13.33203125" style="1697" customWidth="1"/>
    <col min="5635" max="5635" width="8.5546875" style="1697" customWidth="1"/>
    <col min="5636" max="5636" width="13.33203125" style="1697" customWidth="1"/>
    <col min="5637" max="5637" width="8.5546875" style="1697" customWidth="1"/>
    <col min="5638" max="5638" width="13.33203125" style="1697" customWidth="1"/>
    <col min="5639" max="5639" width="8.5546875" style="1697" customWidth="1"/>
    <col min="5640" max="5889" width="9.109375" style="1697"/>
    <col min="5890" max="5890" width="13.33203125" style="1697" customWidth="1"/>
    <col min="5891" max="5891" width="8.5546875" style="1697" customWidth="1"/>
    <col min="5892" max="5892" width="13.33203125" style="1697" customWidth="1"/>
    <col min="5893" max="5893" width="8.5546875" style="1697" customWidth="1"/>
    <col min="5894" max="5894" width="13.33203125" style="1697" customWidth="1"/>
    <col min="5895" max="5895" width="8.5546875" style="1697" customWidth="1"/>
    <col min="5896" max="6145" width="9.109375" style="1697"/>
    <col min="6146" max="6146" width="13.33203125" style="1697" customWidth="1"/>
    <col min="6147" max="6147" width="8.5546875" style="1697" customWidth="1"/>
    <col min="6148" max="6148" width="13.33203125" style="1697" customWidth="1"/>
    <col min="6149" max="6149" width="8.5546875" style="1697" customWidth="1"/>
    <col min="6150" max="6150" width="13.33203125" style="1697" customWidth="1"/>
    <col min="6151" max="6151" width="8.5546875" style="1697" customWidth="1"/>
    <col min="6152" max="6401" width="9.109375" style="1697"/>
    <col min="6402" max="6402" width="13.33203125" style="1697" customWidth="1"/>
    <col min="6403" max="6403" width="8.5546875" style="1697" customWidth="1"/>
    <col min="6404" max="6404" width="13.33203125" style="1697" customWidth="1"/>
    <col min="6405" max="6405" width="8.5546875" style="1697" customWidth="1"/>
    <col min="6406" max="6406" width="13.33203125" style="1697" customWidth="1"/>
    <col min="6407" max="6407" width="8.5546875" style="1697" customWidth="1"/>
    <col min="6408" max="6657" width="9.109375" style="1697"/>
    <col min="6658" max="6658" width="13.33203125" style="1697" customWidth="1"/>
    <col min="6659" max="6659" width="8.5546875" style="1697" customWidth="1"/>
    <col min="6660" max="6660" width="13.33203125" style="1697" customWidth="1"/>
    <col min="6661" max="6661" width="8.5546875" style="1697" customWidth="1"/>
    <col min="6662" max="6662" width="13.33203125" style="1697" customWidth="1"/>
    <col min="6663" max="6663" width="8.5546875" style="1697" customWidth="1"/>
    <col min="6664" max="6913" width="9.109375" style="1697"/>
    <col min="6914" max="6914" width="13.33203125" style="1697" customWidth="1"/>
    <col min="6915" max="6915" width="8.5546875" style="1697" customWidth="1"/>
    <col min="6916" max="6916" width="13.33203125" style="1697" customWidth="1"/>
    <col min="6917" max="6917" width="8.5546875" style="1697" customWidth="1"/>
    <col min="6918" max="6918" width="13.33203125" style="1697" customWidth="1"/>
    <col min="6919" max="6919" width="8.5546875" style="1697" customWidth="1"/>
    <col min="6920" max="7169" width="9.109375" style="1697"/>
    <col min="7170" max="7170" width="13.33203125" style="1697" customWidth="1"/>
    <col min="7171" max="7171" width="8.5546875" style="1697" customWidth="1"/>
    <col min="7172" max="7172" width="13.33203125" style="1697" customWidth="1"/>
    <col min="7173" max="7173" width="8.5546875" style="1697" customWidth="1"/>
    <col min="7174" max="7174" width="13.33203125" style="1697" customWidth="1"/>
    <col min="7175" max="7175" width="8.5546875" style="1697" customWidth="1"/>
    <col min="7176" max="7425" width="9.109375" style="1697"/>
    <col min="7426" max="7426" width="13.33203125" style="1697" customWidth="1"/>
    <col min="7427" max="7427" width="8.5546875" style="1697" customWidth="1"/>
    <col min="7428" max="7428" width="13.33203125" style="1697" customWidth="1"/>
    <col min="7429" max="7429" width="8.5546875" style="1697" customWidth="1"/>
    <col min="7430" max="7430" width="13.33203125" style="1697" customWidth="1"/>
    <col min="7431" max="7431" width="8.5546875" style="1697" customWidth="1"/>
    <col min="7432" max="7681" width="9.109375" style="1697"/>
    <col min="7682" max="7682" width="13.33203125" style="1697" customWidth="1"/>
    <col min="7683" max="7683" width="8.5546875" style="1697" customWidth="1"/>
    <col min="7684" max="7684" width="13.33203125" style="1697" customWidth="1"/>
    <col min="7685" max="7685" width="8.5546875" style="1697" customWidth="1"/>
    <col min="7686" max="7686" width="13.33203125" style="1697" customWidth="1"/>
    <col min="7687" max="7687" width="8.5546875" style="1697" customWidth="1"/>
    <col min="7688" max="7937" width="9.109375" style="1697"/>
    <col min="7938" max="7938" width="13.33203125" style="1697" customWidth="1"/>
    <col min="7939" max="7939" width="8.5546875" style="1697" customWidth="1"/>
    <col min="7940" max="7940" width="13.33203125" style="1697" customWidth="1"/>
    <col min="7941" max="7941" width="8.5546875" style="1697" customWidth="1"/>
    <col min="7942" max="7942" width="13.33203125" style="1697" customWidth="1"/>
    <col min="7943" max="7943" width="8.5546875" style="1697" customWidth="1"/>
    <col min="7944" max="8193" width="9.109375" style="1697"/>
    <col min="8194" max="8194" width="13.33203125" style="1697" customWidth="1"/>
    <col min="8195" max="8195" width="8.5546875" style="1697" customWidth="1"/>
    <col min="8196" max="8196" width="13.33203125" style="1697" customWidth="1"/>
    <col min="8197" max="8197" width="8.5546875" style="1697" customWidth="1"/>
    <col min="8198" max="8198" width="13.33203125" style="1697" customWidth="1"/>
    <col min="8199" max="8199" width="8.5546875" style="1697" customWidth="1"/>
    <col min="8200" max="8449" width="9.109375" style="1697"/>
    <col min="8450" max="8450" width="13.33203125" style="1697" customWidth="1"/>
    <col min="8451" max="8451" width="8.5546875" style="1697" customWidth="1"/>
    <col min="8452" max="8452" width="13.33203125" style="1697" customWidth="1"/>
    <col min="8453" max="8453" width="8.5546875" style="1697" customWidth="1"/>
    <col min="8454" max="8454" width="13.33203125" style="1697" customWidth="1"/>
    <col min="8455" max="8455" width="8.5546875" style="1697" customWidth="1"/>
    <col min="8456" max="8705" width="9.109375" style="1697"/>
    <col min="8706" max="8706" width="13.33203125" style="1697" customWidth="1"/>
    <col min="8707" max="8707" width="8.5546875" style="1697" customWidth="1"/>
    <col min="8708" max="8708" width="13.33203125" style="1697" customWidth="1"/>
    <col min="8709" max="8709" width="8.5546875" style="1697" customWidth="1"/>
    <col min="8710" max="8710" width="13.33203125" style="1697" customWidth="1"/>
    <col min="8711" max="8711" width="8.5546875" style="1697" customWidth="1"/>
    <col min="8712" max="8961" width="9.109375" style="1697"/>
    <col min="8962" max="8962" width="13.33203125" style="1697" customWidth="1"/>
    <col min="8963" max="8963" width="8.5546875" style="1697" customWidth="1"/>
    <col min="8964" max="8964" width="13.33203125" style="1697" customWidth="1"/>
    <col min="8965" max="8965" width="8.5546875" style="1697" customWidth="1"/>
    <col min="8966" max="8966" width="13.33203125" style="1697" customWidth="1"/>
    <col min="8967" max="8967" width="8.5546875" style="1697" customWidth="1"/>
    <col min="8968" max="9217" width="9.109375" style="1697"/>
    <col min="9218" max="9218" width="13.33203125" style="1697" customWidth="1"/>
    <col min="9219" max="9219" width="8.5546875" style="1697" customWidth="1"/>
    <col min="9220" max="9220" width="13.33203125" style="1697" customWidth="1"/>
    <col min="9221" max="9221" width="8.5546875" style="1697" customWidth="1"/>
    <col min="9222" max="9222" width="13.33203125" style="1697" customWidth="1"/>
    <col min="9223" max="9223" width="8.5546875" style="1697" customWidth="1"/>
    <col min="9224" max="9473" width="9.109375" style="1697"/>
    <col min="9474" max="9474" width="13.33203125" style="1697" customWidth="1"/>
    <col min="9475" max="9475" width="8.5546875" style="1697" customWidth="1"/>
    <col min="9476" max="9476" width="13.33203125" style="1697" customWidth="1"/>
    <col min="9477" max="9477" width="8.5546875" style="1697" customWidth="1"/>
    <col min="9478" max="9478" width="13.33203125" style="1697" customWidth="1"/>
    <col min="9479" max="9479" width="8.5546875" style="1697" customWidth="1"/>
    <col min="9480" max="9729" width="9.109375" style="1697"/>
    <col min="9730" max="9730" width="13.33203125" style="1697" customWidth="1"/>
    <col min="9731" max="9731" width="8.5546875" style="1697" customWidth="1"/>
    <col min="9732" max="9732" width="13.33203125" style="1697" customWidth="1"/>
    <col min="9733" max="9733" width="8.5546875" style="1697" customWidth="1"/>
    <col min="9734" max="9734" width="13.33203125" style="1697" customWidth="1"/>
    <col min="9735" max="9735" width="8.5546875" style="1697" customWidth="1"/>
    <col min="9736" max="9985" width="9.109375" style="1697"/>
    <col min="9986" max="9986" width="13.33203125" style="1697" customWidth="1"/>
    <col min="9987" max="9987" width="8.5546875" style="1697" customWidth="1"/>
    <col min="9988" max="9988" width="13.33203125" style="1697" customWidth="1"/>
    <col min="9989" max="9989" width="8.5546875" style="1697" customWidth="1"/>
    <col min="9990" max="9990" width="13.33203125" style="1697" customWidth="1"/>
    <col min="9991" max="9991" width="8.5546875" style="1697" customWidth="1"/>
    <col min="9992" max="10241" width="9.109375" style="1697"/>
    <col min="10242" max="10242" width="13.33203125" style="1697" customWidth="1"/>
    <col min="10243" max="10243" width="8.5546875" style="1697" customWidth="1"/>
    <col min="10244" max="10244" width="13.33203125" style="1697" customWidth="1"/>
    <col min="10245" max="10245" width="8.5546875" style="1697" customWidth="1"/>
    <col min="10246" max="10246" width="13.33203125" style="1697" customWidth="1"/>
    <col min="10247" max="10247" width="8.5546875" style="1697" customWidth="1"/>
    <col min="10248" max="10497" width="9.109375" style="1697"/>
    <col min="10498" max="10498" width="13.33203125" style="1697" customWidth="1"/>
    <col min="10499" max="10499" width="8.5546875" style="1697" customWidth="1"/>
    <col min="10500" max="10500" width="13.33203125" style="1697" customWidth="1"/>
    <col min="10501" max="10501" width="8.5546875" style="1697" customWidth="1"/>
    <col min="10502" max="10502" width="13.33203125" style="1697" customWidth="1"/>
    <col min="10503" max="10503" width="8.5546875" style="1697" customWidth="1"/>
    <col min="10504" max="10753" width="9.109375" style="1697"/>
    <col min="10754" max="10754" width="13.33203125" style="1697" customWidth="1"/>
    <col min="10755" max="10755" width="8.5546875" style="1697" customWidth="1"/>
    <col min="10756" max="10756" width="13.33203125" style="1697" customWidth="1"/>
    <col min="10757" max="10757" width="8.5546875" style="1697" customWidth="1"/>
    <col min="10758" max="10758" width="13.33203125" style="1697" customWidth="1"/>
    <col min="10759" max="10759" width="8.5546875" style="1697" customWidth="1"/>
    <col min="10760" max="11009" width="9.109375" style="1697"/>
    <col min="11010" max="11010" width="13.33203125" style="1697" customWidth="1"/>
    <col min="11011" max="11011" width="8.5546875" style="1697" customWidth="1"/>
    <col min="11012" max="11012" width="13.33203125" style="1697" customWidth="1"/>
    <col min="11013" max="11013" width="8.5546875" style="1697" customWidth="1"/>
    <col min="11014" max="11014" width="13.33203125" style="1697" customWidth="1"/>
    <col min="11015" max="11015" width="8.5546875" style="1697" customWidth="1"/>
    <col min="11016" max="11265" width="9.109375" style="1697"/>
    <col min="11266" max="11266" width="13.33203125" style="1697" customWidth="1"/>
    <col min="11267" max="11267" width="8.5546875" style="1697" customWidth="1"/>
    <col min="11268" max="11268" width="13.33203125" style="1697" customWidth="1"/>
    <col min="11269" max="11269" width="8.5546875" style="1697" customWidth="1"/>
    <col min="11270" max="11270" width="13.33203125" style="1697" customWidth="1"/>
    <col min="11271" max="11271" width="8.5546875" style="1697" customWidth="1"/>
    <col min="11272" max="11521" width="9.109375" style="1697"/>
    <col min="11522" max="11522" width="13.33203125" style="1697" customWidth="1"/>
    <col min="11523" max="11523" width="8.5546875" style="1697" customWidth="1"/>
    <col min="11524" max="11524" width="13.33203125" style="1697" customWidth="1"/>
    <col min="11525" max="11525" width="8.5546875" style="1697" customWidth="1"/>
    <col min="11526" max="11526" width="13.33203125" style="1697" customWidth="1"/>
    <col min="11527" max="11527" width="8.5546875" style="1697" customWidth="1"/>
    <col min="11528" max="11777" width="9.109375" style="1697"/>
    <col min="11778" max="11778" width="13.33203125" style="1697" customWidth="1"/>
    <col min="11779" max="11779" width="8.5546875" style="1697" customWidth="1"/>
    <col min="11780" max="11780" width="13.33203125" style="1697" customWidth="1"/>
    <col min="11781" max="11781" width="8.5546875" style="1697" customWidth="1"/>
    <col min="11782" max="11782" width="13.33203125" style="1697" customWidth="1"/>
    <col min="11783" max="11783" width="8.5546875" style="1697" customWidth="1"/>
    <col min="11784" max="12033" width="9.109375" style="1697"/>
    <col min="12034" max="12034" width="13.33203125" style="1697" customWidth="1"/>
    <col min="12035" max="12035" width="8.5546875" style="1697" customWidth="1"/>
    <col min="12036" max="12036" width="13.33203125" style="1697" customWidth="1"/>
    <col min="12037" max="12037" width="8.5546875" style="1697" customWidth="1"/>
    <col min="12038" max="12038" width="13.33203125" style="1697" customWidth="1"/>
    <col min="12039" max="12039" width="8.5546875" style="1697" customWidth="1"/>
    <col min="12040" max="12289" width="9.109375" style="1697"/>
    <col min="12290" max="12290" width="13.33203125" style="1697" customWidth="1"/>
    <col min="12291" max="12291" width="8.5546875" style="1697" customWidth="1"/>
    <col min="12292" max="12292" width="13.33203125" style="1697" customWidth="1"/>
    <col min="12293" max="12293" width="8.5546875" style="1697" customWidth="1"/>
    <col min="12294" max="12294" width="13.33203125" style="1697" customWidth="1"/>
    <col min="12295" max="12295" width="8.5546875" style="1697" customWidth="1"/>
    <col min="12296" max="12545" width="9.109375" style="1697"/>
    <col min="12546" max="12546" width="13.33203125" style="1697" customWidth="1"/>
    <col min="12547" max="12547" width="8.5546875" style="1697" customWidth="1"/>
    <col min="12548" max="12548" width="13.33203125" style="1697" customWidth="1"/>
    <col min="12549" max="12549" width="8.5546875" style="1697" customWidth="1"/>
    <col min="12550" max="12550" width="13.33203125" style="1697" customWidth="1"/>
    <col min="12551" max="12551" width="8.5546875" style="1697" customWidth="1"/>
    <col min="12552" max="12801" width="9.109375" style="1697"/>
    <col min="12802" max="12802" width="13.33203125" style="1697" customWidth="1"/>
    <col min="12803" max="12803" width="8.5546875" style="1697" customWidth="1"/>
    <col min="12804" max="12804" width="13.33203125" style="1697" customWidth="1"/>
    <col min="12805" max="12805" width="8.5546875" style="1697" customWidth="1"/>
    <col min="12806" max="12806" width="13.33203125" style="1697" customWidth="1"/>
    <col min="12807" max="12807" width="8.5546875" style="1697" customWidth="1"/>
    <col min="12808" max="13057" width="9.109375" style="1697"/>
    <col min="13058" max="13058" width="13.33203125" style="1697" customWidth="1"/>
    <col min="13059" max="13059" width="8.5546875" style="1697" customWidth="1"/>
    <col min="13060" max="13060" width="13.33203125" style="1697" customWidth="1"/>
    <col min="13061" max="13061" width="8.5546875" style="1697" customWidth="1"/>
    <col min="13062" max="13062" width="13.33203125" style="1697" customWidth="1"/>
    <col min="13063" max="13063" width="8.5546875" style="1697" customWidth="1"/>
    <col min="13064" max="13313" width="9.109375" style="1697"/>
    <col min="13314" max="13314" width="13.33203125" style="1697" customWidth="1"/>
    <col min="13315" max="13315" width="8.5546875" style="1697" customWidth="1"/>
    <col min="13316" max="13316" width="13.33203125" style="1697" customWidth="1"/>
    <col min="13317" max="13317" width="8.5546875" style="1697" customWidth="1"/>
    <col min="13318" max="13318" width="13.33203125" style="1697" customWidth="1"/>
    <col min="13319" max="13319" width="8.5546875" style="1697" customWidth="1"/>
    <col min="13320" max="13569" width="9.109375" style="1697"/>
    <col min="13570" max="13570" width="13.33203125" style="1697" customWidth="1"/>
    <col min="13571" max="13571" width="8.5546875" style="1697" customWidth="1"/>
    <col min="13572" max="13572" width="13.33203125" style="1697" customWidth="1"/>
    <col min="13573" max="13573" width="8.5546875" style="1697" customWidth="1"/>
    <col min="13574" max="13574" width="13.33203125" style="1697" customWidth="1"/>
    <col min="13575" max="13575" width="8.5546875" style="1697" customWidth="1"/>
    <col min="13576" max="13825" width="9.109375" style="1697"/>
    <col min="13826" max="13826" width="13.33203125" style="1697" customWidth="1"/>
    <col min="13827" max="13827" width="8.5546875" style="1697" customWidth="1"/>
    <col min="13828" max="13828" width="13.33203125" style="1697" customWidth="1"/>
    <col min="13829" max="13829" width="8.5546875" style="1697" customWidth="1"/>
    <col min="13830" max="13830" width="13.33203125" style="1697" customWidth="1"/>
    <col min="13831" max="13831" width="8.5546875" style="1697" customWidth="1"/>
    <col min="13832" max="14081" width="9.109375" style="1697"/>
    <col min="14082" max="14082" width="13.33203125" style="1697" customWidth="1"/>
    <col min="14083" max="14083" width="8.5546875" style="1697" customWidth="1"/>
    <col min="14084" max="14084" width="13.33203125" style="1697" customWidth="1"/>
    <col min="14085" max="14085" width="8.5546875" style="1697" customWidth="1"/>
    <col min="14086" max="14086" width="13.33203125" style="1697" customWidth="1"/>
    <col min="14087" max="14087" width="8.5546875" style="1697" customWidth="1"/>
    <col min="14088" max="14337" width="9.109375" style="1697"/>
    <col min="14338" max="14338" width="13.33203125" style="1697" customWidth="1"/>
    <col min="14339" max="14339" width="8.5546875" style="1697" customWidth="1"/>
    <col min="14340" max="14340" width="13.33203125" style="1697" customWidth="1"/>
    <col min="14341" max="14341" width="8.5546875" style="1697" customWidth="1"/>
    <col min="14342" max="14342" width="13.33203125" style="1697" customWidth="1"/>
    <col min="14343" max="14343" width="8.5546875" style="1697" customWidth="1"/>
    <col min="14344" max="14593" width="9.109375" style="1697"/>
    <col min="14594" max="14594" width="13.33203125" style="1697" customWidth="1"/>
    <col min="14595" max="14595" width="8.5546875" style="1697" customWidth="1"/>
    <col min="14596" max="14596" width="13.33203125" style="1697" customWidth="1"/>
    <col min="14597" max="14597" width="8.5546875" style="1697" customWidth="1"/>
    <col min="14598" max="14598" width="13.33203125" style="1697" customWidth="1"/>
    <col min="14599" max="14599" width="8.5546875" style="1697" customWidth="1"/>
    <col min="14600" max="14849" width="9.109375" style="1697"/>
    <col min="14850" max="14850" width="13.33203125" style="1697" customWidth="1"/>
    <col min="14851" max="14851" width="8.5546875" style="1697" customWidth="1"/>
    <col min="14852" max="14852" width="13.33203125" style="1697" customWidth="1"/>
    <col min="14853" max="14853" width="8.5546875" style="1697" customWidth="1"/>
    <col min="14854" max="14854" width="13.33203125" style="1697" customWidth="1"/>
    <col min="14855" max="14855" width="8.5546875" style="1697" customWidth="1"/>
    <col min="14856" max="15105" width="9.109375" style="1697"/>
    <col min="15106" max="15106" width="13.33203125" style="1697" customWidth="1"/>
    <col min="15107" max="15107" width="8.5546875" style="1697" customWidth="1"/>
    <col min="15108" max="15108" width="13.33203125" style="1697" customWidth="1"/>
    <col min="15109" max="15109" width="8.5546875" style="1697" customWidth="1"/>
    <col min="15110" max="15110" width="13.33203125" style="1697" customWidth="1"/>
    <col min="15111" max="15111" width="8.5546875" style="1697" customWidth="1"/>
    <col min="15112" max="15361" width="9.109375" style="1697"/>
    <col min="15362" max="15362" width="13.33203125" style="1697" customWidth="1"/>
    <col min="15363" max="15363" width="8.5546875" style="1697" customWidth="1"/>
    <col min="15364" max="15364" width="13.33203125" style="1697" customWidth="1"/>
    <col min="15365" max="15365" width="8.5546875" style="1697" customWidth="1"/>
    <col min="15366" max="15366" width="13.33203125" style="1697" customWidth="1"/>
    <col min="15367" max="15367" width="8.5546875" style="1697" customWidth="1"/>
    <col min="15368" max="15617" width="9.109375" style="1697"/>
    <col min="15618" max="15618" width="13.33203125" style="1697" customWidth="1"/>
    <col min="15619" max="15619" width="8.5546875" style="1697" customWidth="1"/>
    <col min="15620" max="15620" width="13.33203125" style="1697" customWidth="1"/>
    <col min="15621" max="15621" width="8.5546875" style="1697" customWidth="1"/>
    <col min="15622" max="15622" width="13.33203125" style="1697" customWidth="1"/>
    <col min="15623" max="15623" width="8.5546875" style="1697" customWidth="1"/>
    <col min="15624" max="15873" width="9.109375" style="1697"/>
    <col min="15874" max="15874" width="13.33203125" style="1697" customWidth="1"/>
    <col min="15875" max="15875" width="8.5546875" style="1697" customWidth="1"/>
    <col min="15876" max="15876" width="13.33203125" style="1697" customWidth="1"/>
    <col min="15877" max="15877" width="8.5546875" style="1697" customWidth="1"/>
    <col min="15878" max="15878" width="13.33203125" style="1697" customWidth="1"/>
    <col min="15879" max="15879" width="8.5546875" style="1697" customWidth="1"/>
    <col min="15880" max="16129" width="9.109375" style="1697"/>
    <col min="16130" max="16130" width="13.33203125" style="1697" customWidth="1"/>
    <col min="16131" max="16131" width="8.5546875" style="1697" customWidth="1"/>
    <col min="16132" max="16132" width="13.33203125" style="1697" customWidth="1"/>
    <col min="16133" max="16133" width="8.5546875" style="1697" customWidth="1"/>
    <col min="16134" max="16134" width="13.33203125" style="1697" customWidth="1"/>
    <col min="16135" max="16135" width="8.5546875" style="1697" customWidth="1"/>
    <col min="16136" max="16384" width="9.109375" style="1697"/>
  </cols>
  <sheetData>
    <row r="1" spans="1:17" ht="15.6">
      <c r="A1" s="1694" t="s">
        <v>1084</v>
      </c>
      <c r="B1" s="1694"/>
      <c r="C1" s="1695"/>
      <c r="D1" s="1694"/>
      <c r="E1" s="1694"/>
      <c r="F1" s="1694"/>
      <c r="G1" s="1694"/>
      <c r="H1" s="1696"/>
      <c r="I1" s="1696"/>
      <c r="J1" s="1696"/>
      <c r="K1" s="1696"/>
      <c r="L1" s="1696"/>
      <c r="M1" s="1696"/>
      <c r="N1" s="1696"/>
      <c r="O1" s="1696"/>
      <c r="P1" s="1696"/>
      <c r="Q1" s="1696"/>
    </row>
    <row r="2" spans="1:17" ht="18.75" customHeight="1">
      <c r="A2" s="1694" t="s">
        <v>1085</v>
      </c>
      <c r="B2" s="1694"/>
      <c r="C2" s="1695"/>
      <c r="D2" s="1694"/>
      <c r="E2" s="1694"/>
      <c r="F2" s="1694"/>
      <c r="G2" s="1694"/>
      <c r="H2" s="1696"/>
      <c r="I2" s="1696"/>
      <c r="J2" s="1696"/>
      <c r="K2" s="1696"/>
      <c r="L2" s="1696"/>
      <c r="M2" s="1696"/>
      <c r="N2" s="1696"/>
      <c r="O2" s="1696"/>
      <c r="P2" s="1696"/>
      <c r="Q2" s="1696"/>
    </row>
    <row r="3" spans="1:17" ht="52.5" hidden="1" customHeight="1" outlineLevel="1">
      <c r="A3" s="1696"/>
      <c r="B3" s="1696"/>
      <c r="C3" s="1698"/>
      <c r="D3" s="1696"/>
      <c r="E3" s="1696"/>
      <c r="F3" s="1696"/>
      <c r="G3" s="1696"/>
      <c r="H3" s="1696"/>
      <c r="I3" s="1696"/>
      <c r="J3" s="1696"/>
      <c r="K3" s="1696"/>
      <c r="L3" s="1699" t="s">
        <v>1205</v>
      </c>
      <c r="M3" s="1696"/>
      <c r="N3" s="1696"/>
      <c r="O3" s="1696"/>
      <c r="P3" s="1696"/>
      <c r="Q3" s="1696"/>
    </row>
    <row r="4" spans="1:17" s="1704" customFormat="1" ht="15.6" hidden="1" outlineLevel="1">
      <c r="A4" s="1700" t="s">
        <v>203</v>
      </c>
      <c r="B4" s="1701"/>
      <c r="C4" s="1702"/>
      <c r="D4" s="1701"/>
      <c r="E4" s="1701"/>
      <c r="F4" s="1703"/>
      <c r="G4" s="1701"/>
      <c r="N4" s="1705"/>
      <c r="O4" s="1705"/>
      <c r="P4" s="1705"/>
    </row>
    <row r="5" spans="1:17" s="1704" customFormat="1" ht="15.75" hidden="1" customHeight="1" outlineLevel="1">
      <c r="A5" s="2031" t="s">
        <v>1086</v>
      </c>
      <c r="B5" s="1706" t="s">
        <v>1087</v>
      </c>
      <c r="C5" s="1707"/>
      <c r="D5" s="1708"/>
      <c r="E5" s="1706"/>
      <c r="F5" s="1706" t="s">
        <v>1088</v>
      </c>
      <c r="G5" s="1706"/>
      <c r="H5" s="2031" t="s">
        <v>241</v>
      </c>
      <c r="O5" s="1705"/>
      <c r="P5" s="1705"/>
      <c r="Q5" s="1705"/>
    </row>
    <row r="6" spans="1:17" s="1704" customFormat="1" ht="69" hidden="1" customHeight="1" outlineLevel="1">
      <c r="A6" s="2032"/>
      <c r="B6" s="1709" t="s">
        <v>243</v>
      </c>
      <c r="C6" s="1710" t="s">
        <v>1089</v>
      </c>
      <c r="D6" s="1709" t="s">
        <v>288</v>
      </c>
      <c r="E6" s="1711" t="s">
        <v>1089</v>
      </c>
      <c r="F6" s="1712" t="s">
        <v>245</v>
      </c>
      <c r="G6" s="1711" t="s">
        <v>1089</v>
      </c>
      <c r="H6" s="2033"/>
      <c r="N6" s="1705"/>
    </row>
    <row r="7" spans="1:17" s="1704" customFormat="1" ht="15.6" hidden="1" outlineLevel="1">
      <c r="A7" s="2032"/>
      <c r="B7" s="1713" t="s">
        <v>1090</v>
      </c>
      <c r="C7" s="1714" t="s">
        <v>32</v>
      </c>
      <c r="D7" s="1713" t="s">
        <v>1091</v>
      </c>
      <c r="E7" s="1715" t="s">
        <v>32</v>
      </c>
      <c r="F7" s="1712"/>
      <c r="G7" s="1715" t="s">
        <v>32</v>
      </c>
      <c r="H7" s="1713" t="s">
        <v>353</v>
      </c>
      <c r="O7" s="1705"/>
      <c r="P7" s="1705"/>
      <c r="Q7" s="1705"/>
    </row>
    <row r="8" spans="1:17" s="1705" customFormat="1" ht="15.6" hidden="1" outlineLevel="1">
      <c r="A8" s="2033"/>
      <c r="B8" s="1716" t="s">
        <v>44</v>
      </c>
      <c r="C8" s="1717"/>
      <c r="D8" s="1716" t="s">
        <v>249</v>
      </c>
      <c r="E8" s="1717"/>
      <c r="F8" s="1716" t="s">
        <v>249</v>
      </c>
      <c r="G8" s="1717"/>
      <c r="H8" s="1716" t="s">
        <v>1092</v>
      </c>
    </row>
    <row r="9" spans="1:17" s="1705" customFormat="1" ht="15.6" hidden="1" outlineLevel="1">
      <c r="A9" s="1718" t="s">
        <v>226</v>
      </c>
      <c r="B9" s="1719">
        <v>124404</v>
      </c>
      <c r="C9" s="1717"/>
      <c r="D9" s="1719">
        <v>228.06</v>
      </c>
      <c r="E9" s="1717"/>
      <c r="F9" s="1719">
        <v>433</v>
      </c>
      <c r="G9" s="1717"/>
      <c r="H9" s="1720">
        <f>(B9*12/(F9-D9))</f>
        <v>7284.3173611788816</v>
      </c>
    </row>
    <row r="10" spans="1:17" s="1705" customFormat="1" ht="15.6" hidden="1" outlineLevel="1">
      <c r="A10" s="1718" t="s">
        <v>211</v>
      </c>
      <c r="B10" s="1719">
        <v>166069</v>
      </c>
      <c r="C10" s="1717"/>
      <c r="D10" s="1719">
        <v>749.32</v>
      </c>
      <c r="E10" s="1717"/>
      <c r="F10" s="1719">
        <v>1022.95</v>
      </c>
      <c r="G10" s="1717"/>
      <c r="H10" s="1720">
        <f>(B10*12/(F10-D10))</f>
        <v>7282.9295033439321</v>
      </c>
    </row>
    <row r="11" spans="1:17" s="1705" customFormat="1" ht="15.6" hidden="1" outlineLevel="1">
      <c r="A11" s="1718" t="s">
        <v>253</v>
      </c>
      <c r="B11" s="1719">
        <v>417747</v>
      </c>
      <c r="C11" s="1717"/>
      <c r="D11" s="1719">
        <v>810.58</v>
      </c>
      <c r="E11" s="1717"/>
      <c r="F11" s="1719">
        <v>1498.78</v>
      </c>
      <c r="G11" s="1717"/>
      <c r="H11" s="1720">
        <f>(B11*12/(F11-D11))</f>
        <v>7284.167393199652</v>
      </c>
    </row>
    <row r="12" spans="1:17" s="1705" customFormat="1" ht="15.6" hidden="1" outlineLevel="1">
      <c r="A12" s="1718" t="s">
        <v>215</v>
      </c>
      <c r="B12" s="1719">
        <v>481133</v>
      </c>
      <c r="C12" s="1717"/>
      <c r="D12" s="1719">
        <v>1074.45</v>
      </c>
      <c r="E12" s="1717"/>
      <c r="F12" s="1719">
        <v>1903</v>
      </c>
      <c r="G12" s="1717"/>
      <c r="H12" s="1720">
        <f>(B12*12/(F12-D12))</f>
        <v>6968.3133184478911</v>
      </c>
    </row>
    <row r="13" spans="1:17" s="1705" customFormat="1" ht="21.75" hidden="1" customHeight="1" outlineLevel="1">
      <c r="A13" s="1718" t="s">
        <v>352</v>
      </c>
      <c r="B13" s="1719"/>
      <c r="C13" s="1717"/>
      <c r="D13" s="1719"/>
      <c r="E13" s="1717"/>
      <c r="F13" s="1719"/>
      <c r="G13" s="1717"/>
      <c r="H13" s="1720" t="e">
        <f>(B13*12/(F13-D13))</f>
        <v>#DIV/0!</v>
      </c>
    </row>
    <row r="14" spans="1:17" s="1705" customFormat="1" ht="21.75" hidden="1" customHeight="1" outlineLevel="1">
      <c r="A14" s="1721"/>
      <c r="B14" s="1722"/>
      <c r="C14" s="1723"/>
      <c r="D14" s="1722"/>
      <c r="E14" s="1723"/>
      <c r="F14" s="1722"/>
      <c r="G14" s="1723"/>
      <c r="H14" s="1724"/>
    </row>
    <row r="15" spans="1:17" s="1704" customFormat="1" ht="15.6" hidden="1" outlineLevel="1">
      <c r="A15" s="1700" t="s">
        <v>204</v>
      </c>
      <c r="B15" s="1701"/>
      <c r="C15" s="1702"/>
      <c r="D15" s="1701"/>
      <c r="E15" s="1701"/>
      <c r="F15" s="1703"/>
      <c r="G15" s="1701"/>
      <c r="N15" s="1705"/>
      <c r="O15" s="1705"/>
      <c r="P15" s="1705"/>
    </row>
    <row r="16" spans="1:17" s="1704" customFormat="1" ht="15.75" hidden="1" customHeight="1" outlineLevel="1" collapsed="1">
      <c r="A16" s="2031" t="s">
        <v>1086</v>
      </c>
      <c r="B16" s="1706" t="s">
        <v>1087</v>
      </c>
      <c r="C16" s="1707"/>
      <c r="D16" s="1708"/>
      <c r="E16" s="1706"/>
      <c r="F16" s="1706" t="s">
        <v>1088</v>
      </c>
      <c r="G16" s="1706"/>
      <c r="H16" s="2031" t="s">
        <v>241</v>
      </c>
      <c r="O16" s="1705"/>
      <c r="P16" s="1705"/>
      <c r="Q16" s="1705"/>
    </row>
    <row r="17" spans="1:17" s="1704" customFormat="1" ht="69" hidden="1" customHeight="1" outlineLevel="1">
      <c r="A17" s="2032"/>
      <c r="B17" s="1709" t="s">
        <v>243</v>
      </c>
      <c r="C17" s="1710" t="s">
        <v>1089</v>
      </c>
      <c r="D17" s="1709" t="s">
        <v>288</v>
      </c>
      <c r="E17" s="1711" t="s">
        <v>1089</v>
      </c>
      <c r="F17" s="1712" t="s">
        <v>245</v>
      </c>
      <c r="G17" s="1711" t="s">
        <v>1089</v>
      </c>
      <c r="H17" s="2033"/>
      <c r="N17" s="1705"/>
    </row>
    <row r="18" spans="1:17" s="1704" customFormat="1" ht="15.6" hidden="1" outlineLevel="1">
      <c r="A18" s="2032"/>
      <c r="B18" s="1713" t="s">
        <v>1090</v>
      </c>
      <c r="C18" s="1714" t="s">
        <v>32</v>
      </c>
      <c r="D18" s="1713" t="s">
        <v>1091</v>
      </c>
      <c r="E18" s="1715" t="s">
        <v>32</v>
      </c>
      <c r="F18" s="1712"/>
      <c r="G18" s="1715" t="s">
        <v>32</v>
      </c>
      <c r="H18" s="1713" t="s">
        <v>353</v>
      </c>
      <c r="O18" s="1705"/>
      <c r="P18" s="1705"/>
      <c r="Q18" s="1705"/>
    </row>
    <row r="19" spans="1:17" s="1705" customFormat="1" ht="15.6" hidden="1" outlineLevel="1">
      <c r="A19" s="2033"/>
      <c r="B19" s="1716" t="s">
        <v>44</v>
      </c>
      <c r="C19" s="1717"/>
      <c r="D19" s="1716" t="s">
        <v>249</v>
      </c>
      <c r="E19" s="1717"/>
      <c r="F19" s="1716" t="s">
        <v>249</v>
      </c>
      <c r="G19" s="1717"/>
      <c r="H19" s="1716" t="s">
        <v>1092</v>
      </c>
    </row>
    <row r="20" spans="1:17" s="1705" customFormat="1" ht="15.6" hidden="1" outlineLevel="1">
      <c r="A20" s="1718" t="s">
        <v>226</v>
      </c>
      <c r="B20" s="1719">
        <v>300621.82</v>
      </c>
      <c r="C20" s="1717">
        <f>B20/B9-1</f>
        <v>1.4164964149062733</v>
      </c>
      <c r="D20" s="1719">
        <v>176.8</v>
      </c>
      <c r="E20" s="1717">
        <f>D20/D9-1</f>
        <v>-0.22476541261071648</v>
      </c>
      <c r="F20" s="1719">
        <v>592.41</v>
      </c>
      <c r="G20" s="1717">
        <f>F20/F9-1</f>
        <v>0.36815242494226319</v>
      </c>
      <c r="H20" s="1720">
        <f>(B20*12/(F20-D20))</f>
        <v>8679.9206948822211</v>
      </c>
    </row>
    <row r="21" spans="1:17" s="1705" customFormat="1" ht="15.6" hidden="1" outlineLevel="1">
      <c r="A21" s="1718" t="s">
        <v>211</v>
      </c>
      <c r="B21" s="1719">
        <v>490793.23</v>
      </c>
      <c r="C21" s="1717">
        <f>B21/B10-1</f>
        <v>1.9553572912464094</v>
      </c>
      <c r="D21" s="1719">
        <v>180</v>
      </c>
      <c r="E21" s="1717">
        <f>D21/D10-1</f>
        <v>-0.75978220253029416</v>
      </c>
      <c r="F21" s="1719">
        <v>969.48</v>
      </c>
      <c r="G21" s="1717">
        <f>F21/F10-1</f>
        <v>-5.2270394447431423E-2</v>
      </c>
      <c r="H21" s="1720">
        <f>(B21*12/(F21-D21))</f>
        <v>7459.9974160206712</v>
      </c>
    </row>
    <row r="22" spans="1:17" s="1705" customFormat="1" ht="15.6" hidden="1" outlineLevel="1">
      <c r="A22" s="1718" t="s">
        <v>253</v>
      </c>
      <c r="B22" s="1719">
        <v>680321</v>
      </c>
      <c r="C22" s="1717">
        <f>B22/B11-1</f>
        <v>0.6285479010022812</v>
      </c>
      <c r="D22" s="1719">
        <v>210</v>
      </c>
      <c r="E22" s="1717">
        <f>D22/D11-1</f>
        <v>-0.74092625033926329</v>
      </c>
      <c r="F22" s="1719">
        <v>1441.35</v>
      </c>
      <c r="G22" s="1717">
        <f>F22/F11-1</f>
        <v>-3.8317831836560456E-2</v>
      </c>
      <c r="H22" s="1720">
        <f>(B22*12/(F22-D22))</f>
        <v>6630.0012181751745</v>
      </c>
    </row>
    <row r="23" spans="1:17" s="1705" customFormat="1" ht="15.6" hidden="1" outlineLevel="1">
      <c r="A23" s="1718" t="s">
        <v>215</v>
      </c>
      <c r="B23" s="1719">
        <v>851305.82</v>
      </c>
      <c r="C23" s="1717">
        <f>B23/B12-1</f>
        <v>0.76937732394161262</v>
      </c>
      <c r="D23" s="1719">
        <v>432</v>
      </c>
      <c r="E23" s="1717">
        <f>D23/D12-1</f>
        <v>-0.59793382660896266</v>
      </c>
      <c r="F23" s="1719">
        <v>2296.17</v>
      </c>
      <c r="G23" s="1717">
        <f>F23/F12-1</f>
        <v>0.20660535995796114</v>
      </c>
      <c r="H23" s="1720">
        <f>(B23*12/(F23-D23))</f>
        <v>5480.0097845153605</v>
      </c>
    </row>
    <row r="24" spans="1:17" s="1705" customFormat="1" ht="21.75" hidden="1" customHeight="1" outlineLevel="1">
      <c r="A24" s="1718" t="s">
        <v>352</v>
      </c>
      <c r="B24" s="1719">
        <v>116581.82</v>
      </c>
      <c r="C24" s="1717"/>
      <c r="D24" s="1719">
        <v>162.69999999999999</v>
      </c>
      <c r="E24" s="1717"/>
      <c r="F24" s="1719">
        <v>380.24</v>
      </c>
      <c r="G24" s="1717"/>
      <c r="H24" s="1720">
        <f>(B24*12/(F24-D24))</f>
        <v>6430.9177162820624</v>
      </c>
    </row>
    <row r="25" spans="1:17" s="1705" customFormat="1" ht="21.75" hidden="1" customHeight="1" collapsed="1">
      <c r="A25" s="1721"/>
      <c r="B25" s="1722"/>
      <c r="C25" s="1723"/>
      <c r="D25" s="1722"/>
      <c r="E25" s="1722"/>
      <c r="F25" s="1725" t="s">
        <v>1093</v>
      </c>
      <c r="G25" s="1722"/>
      <c r="H25" s="1724"/>
    </row>
    <row r="26" spans="1:17" s="1704" customFormat="1" ht="15.6" hidden="1">
      <c r="A26" s="1726" t="s">
        <v>510</v>
      </c>
      <c r="B26" s="1727"/>
      <c r="C26" s="1728"/>
      <c r="D26" s="1727"/>
      <c r="E26" s="1727"/>
      <c r="F26" s="1729"/>
      <c r="G26" s="1727"/>
      <c r="H26" s="1730"/>
      <c r="J26" s="1731" t="s">
        <v>1094</v>
      </c>
      <c r="K26" s="1731"/>
      <c r="N26" s="1705"/>
      <c r="O26" s="1705"/>
      <c r="P26" s="1705"/>
    </row>
    <row r="27" spans="1:17" s="1704" customFormat="1" ht="15.75" hidden="1" customHeight="1">
      <c r="A27" s="2034" t="s">
        <v>1086</v>
      </c>
      <c r="B27" s="1732" t="s">
        <v>1087</v>
      </c>
      <c r="C27" s="1733"/>
      <c r="D27" s="1734"/>
      <c r="E27" s="1732"/>
      <c r="F27" s="1732" t="s">
        <v>1088</v>
      </c>
      <c r="G27" s="1732"/>
      <c r="H27" s="2034" t="s">
        <v>241</v>
      </c>
      <c r="O27" s="1705"/>
      <c r="P27" s="1705"/>
      <c r="Q27" s="1705"/>
    </row>
    <row r="28" spans="1:17" s="1704" customFormat="1" ht="69" hidden="1" customHeight="1">
      <c r="A28" s="1950"/>
      <c r="B28" s="1735" t="s">
        <v>243</v>
      </c>
      <c r="C28" s="1736" t="s">
        <v>1089</v>
      </c>
      <c r="D28" s="1735" t="s">
        <v>288</v>
      </c>
      <c r="E28" s="1737" t="s">
        <v>1089</v>
      </c>
      <c r="F28" s="1738" t="s">
        <v>245</v>
      </c>
      <c r="G28" s="1737" t="s">
        <v>1089</v>
      </c>
      <c r="H28" s="1950"/>
      <c r="J28" s="1739" t="s">
        <v>1095</v>
      </c>
      <c r="K28" s="1739"/>
      <c r="L28" s="1739"/>
      <c r="N28" s="1705"/>
    </row>
    <row r="29" spans="1:17" s="1704" customFormat="1" ht="15.6" hidden="1">
      <c r="A29" s="1950"/>
      <c r="B29" s="1740" t="s">
        <v>1090</v>
      </c>
      <c r="C29" s="1741" t="s">
        <v>32</v>
      </c>
      <c r="D29" s="1740" t="s">
        <v>1091</v>
      </c>
      <c r="E29" s="1738" t="s">
        <v>32</v>
      </c>
      <c r="F29" s="1738"/>
      <c r="G29" s="1738" t="s">
        <v>32</v>
      </c>
      <c r="H29" s="1740" t="s">
        <v>1118</v>
      </c>
      <c r="J29" s="1742" t="s">
        <v>1096</v>
      </c>
      <c r="K29" s="1742"/>
      <c r="L29" s="1743" t="s">
        <v>1097</v>
      </c>
      <c r="O29" s="1705"/>
      <c r="P29" s="1705"/>
      <c r="Q29" s="1705"/>
    </row>
    <row r="30" spans="1:17" s="1704" customFormat="1" ht="15.6" hidden="1">
      <c r="A30" s="1950"/>
      <c r="B30" s="1738" t="s">
        <v>44</v>
      </c>
      <c r="C30" s="1741"/>
      <c r="D30" s="1738" t="s">
        <v>249</v>
      </c>
      <c r="E30" s="1738"/>
      <c r="F30" s="1738" t="s">
        <v>249</v>
      </c>
      <c r="G30" s="1738"/>
      <c r="H30" s="1738" t="s">
        <v>1092</v>
      </c>
      <c r="J30" s="1744" t="s">
        <v>1098</v>
      </c>
      <c r="K30" s="1745" t="s">
        <v>1099</v>
      </c>
      <c r="L30" s="1746"/>
      <c r="O30" s="1705"/>
      <c r="P30" s="1705"/>
      <c r="Q30" s="1705"/>
    </row>
    <row r="31" spans="1:17" s="1704" customFormat="1" ht="15.6" hidden="1">
      <c r="A31" s="1735" t="s">
        <v>226</v>
      </c>
      <c r="B31" s="1747">
        <v>364484.63</v>
      </c>
      <c r="C31" s="1748">
        <f>B31/B20-1</f>
        <v>0.2124357107544621</v>
      </c>
      <c r="D31" s="1747">
        <v>151.36000000000001</v>
      </c>
      <c r="E31" s="1748">
        <f>D31/D20-1</f>
        <v>-0.14389140271493206</v>
      </c>
      <c r="F31" s="1747">
        <v>671</v>
      </c>
      <c r="G31" s="1748">
        <f>F31/F20-1</f>
        <v>0.1326615013250958</v>
      </c>
      <c r="H31" s="1749">
        <f>(B31*12/(F31-D31))</f>
        <v>8417.0109306442937</v>
      </c>
      <c r="J31" s="1750">
        <f>B31/B9-1</f>
        <v>1.9298465483424971</v>
      </c>
      <c r="K31" s="1750">
        <f>D31/D9-1</f>
        <v>-0.33631500482329202</v>
      </c>
      <c r="L31" s="1750">
        <f>F31/F9-1</f>
        <v>0.54965357967667439</v>
      </c>
      <c r="N31" s="1750">
        <v>0.21461487820934821</v>
      </c>
      <c r="O31" s="1705"/>
      <c r="P31" s="1705"/>
      <c r="Q31" s="1705"/>
    </row>
    <row r="32" spans="1:17" s="1704" customFormat="1" ht="15.6" hidden="1">
      <c r="A32" s="1735" t="s">
        <v>211</v>
      </c>
      <c r="B32" s="1747">
        <v>684381.17</v>
      </c>
      <c r="C32" s="1748">
        <f>B32/B21-1</f>
        <v>0.3944388963963501</v>
      </c>
      <c r="D32" s="1747">
        <v>162.12</v>
      </c>
      <c r="E32" s="1748">
        <f>D32/D21-1</f>
        <v>-9.9333333333333274E-2</v>
      </c>
      <c r="F32" s="1747">
        <v>1153.6500000000001</v>
      </c>
      <c r="G32" s="1748">
        <f>F32/F21-1</f>
        <v>0.18996781779923255</v>
      </c>
      <c r="H32" s="1749">
        <f>(B32*12/(F32-D32))</f>
        <v>8282.7287525339634</v>
      </c>
      <c r="J32" s="1750">
        <f>B32/B10-1</f>
        <v>3.1210651596625505</v>
      </c>
      <c r="K32" s="1750">
        <f>D32/D10-1</f>
        <v>-0.78364383707895158</v>
      </c>
      <c r="L32" s="1750">
        <f>F32/F10-1</f>
        <v>0.12776773058311752</v>
      </c>
      <c r="N32" s="1750">
        <v>0.24512109584519526</v>
      </c>
      <c r="O32" s="1705"/>
      <c r="P32" s="1705"/>
      <c r="Q32" s="1705"/>
    </row>
    <row r="33" spans="1:17" s="1704" customFormat="1" ht="15.6" hidden="1">
      <c r="A33" s="1735" t="s">
        <v>253</v>
      </c>
      <c r="B33" s="1747">
        <v>942948.34</v>
      </c>
      <c r="C33" s="1748">
        <f>B33/B22-1</f>
        <v>0.38603444550440158</v>
      </c>
      <c r="D33" s="1751"/>
      <c r="E33" s="1717"/>
      <c r="F33" s="1751"/>
      <c r="G33" s="1717"/>
      <c r="H33" s="1752"/>
      <c r="I33" s="1753"/>
      <c r="J33" s="1750">
        <f>B33/B11-1</f>
        <v>1.2572234869430541</v>
      </c>
      <c r="K33" s="1750">
        <f>D33/D11-1</f>
        <v>-1</v>
      </c>
      <c r="L33" s="1750">
        <f>F33/F11-1</f>
        <v>-1</v>
      </c>
      <c r="N33" s="1750">
        <v>0.35747736497034044</v>
      </c>
      <c r="O33" s="1705"/>
      <c r="P33" s="1705"/>
      <c r="Q33" s="1705"/>
    </row>
    <row r="34" spans="1:17" s="1704" customFormat="1" ht="15.6" hidden="1">
      <c r="A34" s="1735" t="s">
        <v>215</v>
      </c>
      <c r="B34" s="1747">
        <v>1640145.12</v>
      </c>
      <c r="C34" s="1748">
        <f>B34/B23-1</f>
        <v>0.92662270299056604</v>
      </c>
      <c r="D34" s="1747">
        <v>472.06</v>
      </c>
      <c r="E34" s="1748">
        <f>D34/D23-1</f>
        <v>9.273148148148147E-2</v>
      </c>
      <c r="F34" s="1747">
        <v>2747.68</v>
      </c>
      <c r="G34" s="1748">
        <f>F34/F23-1</f>
        <v>0.1966361375682113</v>
      </c>
      <c r="H34" s="1749">
        <f>(B34*12/(F34-D34))</f>
        <v>8648.9578400611717</v>
      </c>
      <c r="J34" s="1750">
        <f>B34/B12-1</f>
        <v>2.4089225224626043</v>
      </c>
      <c r="K34" s="1750">
        <f>D34/D12-1</f>
        <v>-0.56064963469682172</v>
      </c>
      <c r="L34" s="1750">
        <f>F34/F12-1</f>
        <v>0.44386757750919581</v>
      </c>
      <c r="N34" s="1750">
        <v>0.32037262049412729</v>
      </c>
      <c r="O34" s="1705"/>
      <c r="P34" s="1705"/>
      <c r="Q34" s="1705"/>
    </row>
    <row r="35" spans="1:17" s="1704" customFormat="1" ht="21.75" hidden="1" customHeight="1">
      <c r="A35" s="1735" t="s">
        <v>352</v>
      </c>
      <c r="B35" s="1747">
        <v>133702.84</v>
      </c>
      <c r="C35" s="1748">
        <f>B35/B24-1</f>
        <v>0.14685840382316884</v>
      </c>
      <c r="D35" s="1747">
        <v>150</v>
      </c>
      <c r="E35" s="1748">
        <f>D35/D24-1</f>
        <v>-7.8057775046097011E-2</v>
      </c>
      <c r="F35" s="1747">
        <v>437.28</v>
      </c>
      <c r="G35" s="1748">
        <f>F35/F24-1</f>
        <v>0.15001051967178625</v>
      </c>
      <c r="H35" s="1749">
        <f>(B35*12/(F35-D35))</f>
        <v>5584.9139515455308</v>
      </c>
      <c r="J35" s="1739"/>
      <c r="K35" s="1739"/>
      <c r="L35" s="1739"/>
      <c r="N35" s="1750">
        <v>-0.3810225120976225</v>
      </c>
      <c r="O35" s="1705"/>
      <c r="P35" s="1705"/>
      <c r="Q35" s="1705"/>
    </row>
    <row r="36" spans="1:17" hidden="1"/>
    <row r="37" spans="1:17" hidden="1">
      <c r="A37" s="1726" t="s">
        <v>631</v>
      </c>
      <c r="B37" s="1727"/>
      <c r="C37" s="1728"/>
      <c r="D37" s="1727"/>
      <c r="E37" s="1727"/>
      <c r="F37" s="1729"/>
      <c r="G37" s="1727"/>
      <c r="H37" s="1755"/>
    </row>
    <row r="38" spans="1:17" ht="18.75" hidden="1" customHeight="1">
      <c r="A38" s="2034" t="s">
        <v>1086</v>
      </c>
      <c r="B38" s="1732" t="s">
        <v>1087</v>
      </c>
      <c r="C38" s="1733"/>
      <c r="D38" s="1732"/>
      <c r="E38" s="1732"/>
      <c r="F38" s="1732" t="s">
        <v>1088</v>
      </c>
      <c r="G38" s="1732"/>
      <c r="H38" s="2034" t="s">
        <v>241</v>
      </c>
    </row>
    <row r="39" spans="1:17" ht="66" hidden="1">
      <c r="A39" s="1950"/>
      <c r="B39" s="1735" t="s">
        <v>243</v>
      </c>
      <c r="C39" s="1736" t="s">
        <v>1089</v>
      </c>
      <c r="D39" s="1735" t="s">
        <v>288</v>
      </c>
      <c r="E39" s="1737" t="s">
        <v>1089</v>
      </c>
      <c r="F39" s="1738" t="s">
        <v>245</v>
      </c>
      <c r="G39" s="1737" t="s">
        <v>1089</v>
      </c>
      <c r="H39" s="1950"/>
    </row>
    <row r="40" spans="1:17" ht="15.6" hidden="1">
      <c r="A40" s="1950"/>
      <c r="B40" s="1740" t="s">
        <v>1090</v>
      </c>
      <c r="C40" s="1741" t="s">
        <v>32</v>
      </c>
      <c r="D40" s="1740" t="s">
        <v>1091</v>
      </c>
      <c r="E40" s="1738" t="s">
        <v>32</v>
      </c>
      <c r="F40" s="1738"/>
      <c r="G40" s="1740"/>
      <c r="H40" s="1740" t="s">
        <v>1118</v>
      </c>
    </row>
    <row r="41" spans="1:17" hidden="1">
      <c r="A41" s="1950"/>
      <c r="B41" s="1738" t="s">
        <v>44</v>
      </c>
      <c r="C41" s="1741"/>
      <c r="D41" s="1738" t="s">
        <v>249</v>
      </c>
      <c r="E41" s="1738"/>
      <c r="F41" s="1738" t="s">
        <v>249</v>
      </c>
      <c r="G41" s="1738" t="s">
        <v>32</v>
      </c>
      <c r="H41" s="1738" t="s">
        <v>1092</v>
      </c>
    </row>
    <row r="42" spans="1:17" hidden="1">
      <c r="A42" s="1735" t="s">
        <v>226</v>
      </c>
      <c r="B42" s="1756">
        <v>427956.36</v>
      </c>
      <c r="C42" s="1748">
        <f>B42/B31-1</f>
        <v>0.17414103305261452</v>
      </c>
      <c r="D42" s="1756">
        <v>179.28</v>
      </c>
      <c r="E42" s="1748">
        <f>D42/D31-1</f>
        <v>0.18446088794925997</v>
      </c>
      <c r="F42" s="1756">
        <v>789.41</v>
      </c>
      <c r="G42" s="1748">
        <f>F42/F31-1</f>
        <v>0.17646795827123696</v>
      </c>
      <c r="H42" s="1749">
        <f>(B42*12/(F42-D42))</f>
        <v>8417.0198482290671</v>
      </c>
    </row>
    <row r="43" spans="1:17" hidden="1">
      <c r="A43" s="1735" t="s">
        <v>211</v>
      </c>
      <c r="B43" s="1756">
        <v>781756.21</v>
      </c>
      <c r="C43" s="1748">
        <f>B43/B32-1</f>
        <v>0.14228188072445058</v>
      </c>
      <c r="D43" s="1756">
        <v>191.71</v>
      </c>
      <c r="E43" s="1748">
        <f>D43/D32-1</f>
        <v>0.18251912163829265</v>
      </c>
      <c r="F43" s="1756">
        <v>1324.32</v>
      </c>
      <c r="G43" s="1748">
        <f>F43/F32-1</f>
        <v>0.14793914965544119</v>
      </c>
      <c r="H43" s="1749">
        <f>(B43*12/(F43-D43))</f>
        <v>8282.7050087850184</v>
      </c>
    </row>
    <row r="44" spans="1:17" hidden="1">
      <c r="A44" s="1735" t="s">
        <v>253</v>
      </c>
      <c r="B44" s="1756">
        <v>1110334.72</v>
      </c>
      <c r="C44" s="1748">
        <f>B44/B33-1</f>
        <v>0.17751383919929276</v>
      </c>
      <c r="D44" s="1756">
        <v>469.5</v>
      </c>
      <c r="E44" s="1748" t="e">
        <f>D44/D33-1</f>
        <v>#DIV/0!</v>
      </c>
      <c r="F44" s="1756">
        <v>2146.56</v>
      </c>
      <c r="G44" s="1748" t="e">
        <f>F44/F33-1</f>
        <v>#DIV/0!</v>
      </c>
      <c r="H44" s="1749">
        <f>(B44*12/(F44-D44))</f>
        <v>7944.8658008658012</v>
      </c>
    </row>
    <row r="45" spans="1:17" hidden="1">
      <c r="A45" s="1735" t="s">
        <v>215</v>
      </c>
      <c r="B45" s="1756">
        <v>2019526.48</v>
      </c>
      <c r="C45" s="1748">
        <f>B45/B34-1</f>
        <v>0.23130962947961575</v>
      </c>
      <c r="D45" s="1756">
        <v>535.79999999999995</v>
      </c>
      <c r="E45" s="1748">
        <f>D45/D34-1</f>
        <v>0.13502520865991596</v>
      </c>
      <c r="F45" s="1756">
        <v>3325.91</v>
      </c>
      <c r="G45" s="1748">
        <f>F45/F34-1</f>
        <v>0.21044299190589877</v>
      </c>
      <c r="H45" s="1749">
        <f>(B45*12/(F45-D45))</f>
        <v>8685.7929472314718</v>
      </c>
    </row>
    <row r="46" spans="1:17" ht="27" hidden="1">
      <c r="A46" s="1735" t="s">
        <v>352</v>
      </c>
      <c r="B46" s="1756">
        <v>22308.959999999999</v>
      </c>
      <c r="C46" s="1748">
        <f>B46/B35-1</f>
        <v>-0.83314520469423092</v>
      </c>
      <c r="D46" s="1756">
        <v>210.28899999999999</v>
      </c>
      <c r="E46" s="1748">
        <f>D46/D35-1</f>
        <v>0.40192666666666654</v>
      </c>
      <c r="F46" s="1756">
        <v>258.20999999999998</v>
      </c>
      <c r="G46" s="1748">
        <f>F46/F35-1</f>
        <v>-0.40950878155872672</v>
      </c>
      <c r="H46" s="1749">
        <f>(B46*12/(F46-D46))</f>
        <v>5586.4343398510064</v>
      </c>
    </row>
    <row r="47" spans="1:17" hidden="1"/>
    <row r="48" spans="1:17" s="1704" customFormat="1" ht="15.6" hidden="1">
      <c r="A48" s="1700" t="s">
        <v>1115</v>
      </c>
      <c r="B48" s="1701"/>
      <c r="C48" s="1702"/>
      <c r="D48" s="1701"/>
      <c r="E48" s="1701"/>
      <c r="F48" s="1703"/>
      <c r="G48" s="1701"/>
      <c r="H48" s="1697"/>
      <c r="J48" s="1705"/>
      <c r="K48" s="1705"/>
    </row>
    <row r="49" spans="1:12" s="1704" customFormat="1" ht="15.75" hidden="1" customHeight="1">
      <c r="A49" s="2031" t="s">
        <v>1086</v>
      </c>
      <c r="B49" s="1757" t="s">
        <v>1087</v>
      </c>
      <c r="C49" s="1707"/>
      <c r="D49" s="1706"/>
      <c r="E49" s="1706"/>
      <c r="F49" s="1706" t="s">
        <v>1088</v>
      </c>
      <c r="G49" s="1706"/>
      <c r="H49" s="2031" t="s">
        <v>1146</v>
      </c>
      <c r="J49" s="1705"/>
      <c r="K49" s="1705"/>
      <c r="L49" s="1705"/>
    </row>
    <row r="50" spans="1:12" s="1704" customFormat="1" ht="69" hidden="1" customHeight="1">
      <c r="A50" s="1950"/>
      <c r="B50" s="1709" t="s">
        <v>243</v>
      </c>
      <c r="C50" s="1710" t="s">
        <v>1089</v>
      </c>
      <c r="D50" s="1709" t="s">
        <v>288</v>
      </c>
      <c r="E50" s="1711" t="s">
        <v>1089</v>
      </c>
      <c r="F50" s="1712" t="s">
        <v>245</v>
      </c>
      <c r="G50" s="1711" t="s">
        <v>1089</v>
      </c>
      <c r="H50" s="2035"/>
    </row>
    <row r="51" spans="1:12" s="1704" customFormat="1" ht="15.6" hidden="1">
      <c r="A51" s="1950"/>
      <c r="B51" s="1713" t="s">
        <v>1090</v>
      </c>
      <c r="C51" s="1714" t="s">
        <v>32</v>
      </c>
      <c r="D51" s="1713" t="s">
        <v>1091</v>
      </c>
      <c r="E51" s="1715" t="s">
        <v>32</v>
      </c>
      <c r="F51" s="1712"/>
      <c r="G51" s="1758" t="s">
        <v>32</v>
      </c>
      <c r="H51" s="1759" t="s">
        <v>1118</v>
      </c>
      <c r="J51" s="1705"/>
      <c r="K51" s="1705"/>
      <c r="L51" s="1705"/>
    </row>
    <row r="52" spans="1:12" s="1704" customFormat="1" ht="15.6" hidden="1">
      <c r="A52" s="1950"/>
      <c r="B52" s="1712" t="s">
        <v>44</v>
      </c>
      <c r="C52" s="1714"/>
      <c r="D52" s="1712" t="s">
        <v>249</v>
      </c>
      <c r="E52" s="1715"/>
      <c r="F52" s="1712" t="s">
        <v>249</v>
      </c>
      <c r="G52" s="1715"/>
      <c r="H52" s="1712" t="s">
        <v>1092</v>
      </c>
      <c r="J52" s="1705"/>
      <c r="K52" s="1705"/>
      <c r="L52" s="1705"/>
    </row>
    <row r="53" spans="1:12" s="1704" customFormat="1" ht="15.6" hidden="1">
      <c r="A53" s="1718" t="s">
        <v>226</v>
      </c>
      <c r="B53" s="1719">
        <v>364484.63</v>
      </c>
      <c r="C53" s="1717">
        <f>B53/B31-1</f>
        <v>0</v>
      </c>
      <c r="D53" s="1719">
        <v>151.36000000000001</v>
      </c>
      <c r="E53" s="1717">
        <f>D53/D31-1</f>
        <v>0</v>
      </c>
      <c r="F53" s="1719">
        <v>671</v>
      </c>
      <c r="G53" s="1717">
        <f>F53/F31-1</f>
        <v>0</v>
      </c>
      <c r="H53" s="1720">
        <f>(B53*6/(F53-D53))</f>
        <v>4208.5054653221468</v>
      </c>
      <c r="J53" s="1705"/>
      <c r="K53" s="1705"/>
      <c r="L53" s="1705"/>
    </row>
    <row r="54" spans="1:12" s="1704" customFormat="1" ht="15.6" hidden="1">
      <c r="A54" s="1718" t="s">
        <v>211</v>
      </c>
      <c r="B54" s="1719">
        <v>684381.17</v>
      </c>
      <c r="C54" s="1717">
        <f>B54/B32-1</f>
        <v>0</v>
      </c>
      <c r="D54" s="1719">
        <v>162.12</v>
      </c>
      <c r="E54" s="1717">
        <f>D54/D32-1</f>
        <v>0</v>
      </c>
      <c r="F54" s="1719">
        <v>1153.6500000000001</v>
      </c>
      <c r="G54" s="1717">
        <f>F54/F32-1</f>
        <v>0</v>
      </c>
      <c r="H54" s="1720">
        <f>(B54*6/(F54-D54))</f>
        <v>4141.3643762669817</v>
      </c>
      <c r="J54" s="1705"/>
      <c r="K54" s="1705"/>
      <c r="L54" s="1705"/>
    </row>
    <row r="55" spans="1:12" s="1704" customFormat="1" ht="15.6" hidden="1">
      <c r="A55" s="1718" t="s">
        <v>253</v>
      </c>
      <c r="B55" s="1719">
        <v>942948.34</v>
      </c>
      <c r="C55" s="1717">
        <f>B55/B33-1</f>
        <v>0</v>
      </c>
      <c r="D55" s="1719">
        <v>414.16</v>
      </c>
      <c r="E55" s="1717" t="e">
        <f>D55/D33-1</f>
        <v>#DIV/0!</v>
      </c>
      <c r="F55" s="1719">
        <v>1847.1</v>
      </c>
      <c r="G55" s="1717" t="e">
        <f>F55/F33-1</f>
        <v>#DIV/0!</v>
      </c>
      <c r="H55" s="1720">
        <f>(B55*6/(F55-D55))</f>
        <v>3948.3090987759438</v>
      </c>
      <c r="J55" s="1705"/>
      <c r="K55" s="1705"/>
      <c r="L55" s="1705"/>
    </row>
    <row r="56" spans="1:12" s="1704" customFormat="1" ht="15.6" hidden="1">
      <c r="A56" s="1718" t="s">
        <v>215</v>
      </c>
      <c r="B56" s="1719">
        <v>1640145.12</v>
      </c>
      <c r="C56" s="1717">
        <f>B56/B34-1</f>
        <v>0</v>
      </c>
      <c r="D56" s="1719">
        <v>472.06</v>
      </c>
      <c r="E56" s="1717">
        <f>D56/D34-1</f>
        <v>0</v>
      </c>
      <c r="F56" s="1719">
        <v>2747.68</v>
      </c>
      <c r="G56" s="1717">
        <f>F56/F34-1</f>
        <v>0</v>
      </c>
      <c r="H56" s="1720">
        <f>(B56*6/(F56-D56))</f>
        <v>4324.4789200305859</v>
      </c>
      <c r="J56" s="1705"/>
      <c r="K56" s="1705"/>
      <c r="L56" s="1705"/>
    </row>
    <row r="57" spans="1:12" s="1704" customFormat="1" ht="21.75" hidden="1" customHeight="1">
      <c r="A57" s="1718" t="s">
        <v>352</v>
      </c>
      <c r="B57" s="1719"/>
      <c r="C57" s="1717"/>
      <c r="D57" s="1719"/>
      <c r="E57" s="1717"/>
      <c r="F57" s="1719">
        <v>437.28</v>
      </c>
      <c r="G57" s="1717">
        <f>F57/F35-1</f>
        <v>0</v>
      </c>
      <c r="H57" s="1720"/>
      <c r="J57" s="1705"/>
      <c r="K57" s="1705"/>
      <c r="L57" s="1705"/>
    </row>
    <row r="58" spans="1:12" s="1704" customFormat="1" ht="21.75" hidden="1" customHeight="1">
      <c r="A58" s="1721"/>
      <c r="B58" s="1722"/>
      <c r="C58" s="1760"/>
      <c r="D58" s="1722"/>
      <c r="E58" s="1760"/>
      <c r="F58" s="1722"/>
      <c r="G58" s="1760"/>
      <c r="H58" s="1724"/>
      <c r="J58" s="1705"/>
      <c r="K58" s="1705"/>
      <c r="L58" s="1705"/>
    </row>
    <row r="59" spans="1:12" s="1704" customFormat="1" ht="15.6" hidden="1">
      <c r="A59" s="1700" t="s">
        <v>1119</v>
      </c>
      <c r="B59" s="1701"/>
      <c r="C59" s="1702"/>
      <c r="D59" s="1701"/>
      <c r="E59" s="1701"/>
      <c r="F59" s="1703"/>
      <c r="G59" s="1701"/>
      <c r="H59" s="1697"/>
      <c r="J59" s="1705"/>
      <c r="K59" s="1705"/>
    </row>
    <row r="60" spans="1:12" s="1704" customFormat="1" ht="15.75" hidden="1" customHeight="1">
      <c r="A60" s="2031" t="s">
        <v>1086</v>
      </c>
      <c r="B60" s="1757" t="s">
        <v>1087</v>
      </c>
      <c r="C60" s="1707"/>
      <c r="D60" s="1706"/>
      <c r="E60" s="1706"/>
      <c r="F60" s="1706" t="s">
        <v>1088</v>
      </c>
      <c r="G60" s="1706"/>
      <c r="H60" s="2031" t="s">
        <v>1147</v>
      </c>
      <c r="I60" s="2031" t="s">
        <v>241</v>
      </c>
      <c r="J60" s="1705"/>
      <c r="K60" s="1705"/>
      <c r="L60" s="1705"/>
    </row>
    <row r="61" spans="1:12" s="1704" customFormat="1" ht="69" hidden="1" customHeight="1">
      <c r="A61" s="1950"/>
      <c r="B61" s="1709" t="s">
        <v>243</v>
      </c>
      <c r="C61" s="1710" t="s">
        <v>1089</v>
      </c>
      <c r="D61" s="1709" t="s">
        <v>288</v>
      </c>
      <c r="E61" s="1711" t="s">
        <v>1089</v>
      </c>
      <c r="F61" s="1712" t="s">
        <v>245</v>
      </c>
      <c r="G61" s="1711" t="s">
        <v>1089</v>
      </c>
      <c r="H61" s="2035"/>
      <c r="I61" s="2035"/>
    </row>
    <row r="62" spans="1:12" s="1704" customFormat="1" ht="15.6" hidden="1">
      <c r="A62" s="1950"/>
      <c r="B62" s="1713" t="s">
        <v>1090</v>
      </c>
      <c r="C62" s="1714" t="s">
        <v>32</v>
      </c>
      <c r="D62" s="1713" t="s">
        <v>1091</v>
      </c>
      <c r="E62" s="1715" t="s">
        <v>32</v>
      </c>
      <c r="F62" s="1712"/>
      <c r="G62" s="1758" t="s">
        <v>32</v>
      </c>
      <c r="H62" s="1759" t="s">
        <v>1118</v>
      </c>
      <c r="I62" s="1759" t="s">
        <v>1118</v>
      </c>
      <c r="J62" s="1705"/>
      <c r="K62" s="1705"/>
      <c r="L62" s="1705"/>
    </row>
    <row r="63" spans="1:12" s="1704" customFormat="1" ht="15.6" hidden="1">
      <c r="A63" s="1950"/>
      <c r="B63" s="1712" t="s">
        <v>44</v>
      </c>
      <c r="C63" s="1714"/>
      <c r="D63" s="1712" t="s">
        <v>249</v>
      </c>
      <c r="E63" s="1715"/>
      <c r="F63" s="1712" t="s">
        <v>249</v>
      </c>
      <c r="G63" s="1715"/>
      <c r="H63" s="1712" t="s">
        <v>1092</v>
      </c>
      <c r="I63" s="1712" t="s">
        <v>1092</v>
      </c>
      <c r="J63" s="1705"/>
      <c r="K63" s="1705"/>
      <c r="L63" s="1705"/>
    </row>
    <row r="64" spans="1:12" s="1704" customFormat="1" ht="15.6" hidden="1">
      <c r="A64" s="1718" t="s">
        <v>226</v>
      </c>
      <c r="B64" s="1719">
        <v>397387.35</v>
      </c>
      <c r="C64" s="1717">
        <f>B64/B53-1</f>
        <v>9.0271899805486999E-2</v>
      </c>
      <c r="D64" s="1719">
        <v>158.29</v>
      </c>
      <c r="E64" s="1717">
        <f>D64/D53-1</f>
        <v>4.5784883720930036E-2</v>
      </c>
      <c r="F64" s="1719">
        <v>690.41</v>
      </c>
      <c r="G64" s="1717">
        <f>F64/F53-1</f>
        <v>2.8926974664679639E-2</v>
      </c>
      <c r="H64" s="1720">
        <f>(B64*6/(F64-D64))</f>
        <v>4480.8015109373819</v>
      </c>
      <c r="I64" s="1720">
        <f>H53+H64</f>
        <v>8689.3069762595296</v>
      </c>
      <c r="J64" s="1705"/>
      <c r="K64" s="1705"/>
      <c r="L64" s="1705"/>
    </row>
    <row r="65" spans="1:12" s="1704" customFormat="1" ht="15.6" hidden="1">
      <c r="A65" s="1718" t="s">
        <v>211</v>
      </c>
      <c r="B65" s="1719">
        <v>740597.33</v>
      </c>
      <c r="C65" s="1717">
        <f>B65/B54-1</f>
        <v>8.2141593696974269E-2</v>
      </c>
      <c r="D65" s="1719">
        <v>168.14</v>
      </c>
      <c r="E65" s="1717">
        <f>D65/D54-1</f>
        <v>3.7132987910189819E-2</v>
      </c>
      <c r="F65" s="1719">
        <v>1174.03</v>
      </c>
      <c r="G65" s="1717">
        <f>F65/F54-1</f>
        <v>1.7665669830537745E-2</v>
      </c>
      <c r="H65" s="1720">
        <f>(B65*6/(F65-D65))</f>
        <v>4417.5645249480558</v>
      </c>
      <c r="I65" s="1720">
        <f>H54+H65</f>
        <v>8558.9289012150366</v>
      </c>
      <c r="J65" s="1705"/>
      <c r="K65" s="1705"/>
      <c r="L65" s="1705"/>
    </row>
    <row r="66" spans="1:12" s="1704" customFormat="1" ht="15.6" hidden="1">
      <c r="A66" s="1718" t="s">
        <v>253</v>
      </c>
      <c r="B66" s="1719">
        <v>1021368.45</v>
      </c>
      <c r="C66" s="1717">
        <f>B66/B55-1</f>
        <v>8.3164799887128549E-2</v>
      </c>
      <c r="D66" s="1719">
        <v>432.48</v>
      </c>
      <c r="E66" s="1717">
        <f>D66/D55-1</f>
        <v>4.4234112420320715E-2</v>
      </c>
      <c r="F66" s="1719">
        <v>1817.25</v>
      </c>
      <c r="G66" s="1717">
        <f>F66/F55-1</f>
        <v>-1.6160467760272801E-2</v>
      </c>
      <c r="H66" s="1720">
        <f>(B66*6/(F66-D66))</f>
        <v>4425.4357763383086</v>
      </c>
      <c r="I66" s="1720">
        <f>H55+H66</f>
        <v>8373.7448751142529</v>
      </c>
      <c r="J66" s="1705"/>
      <c r="K66" s="1705"/>
      <c r="L66" s="1705"/>
    </row>
    <row r="67" spans="1:12" s="1704" customFormat="1" ht="15.6" hidden="1">
      <c r="A67" s="1718" t="s">
        <v>215</v>
      </c>
      <c r="B67" s="1719">
        <v>1766107.62</v>
      </c>
      <c r="C67" s="1717">
        <f>B67/B56-1</f>
        <v>7.6799606610419957E-2</v>
      </c>
      <c r="D67" s="1719">
        <v>495.34</v>
      </c>
      <c r="E67" s="1717">
        <f>D67/D56-1</f>
        <v>4.9315764945134122E-2</v>
      </c>
      <c r="F67" s="1719">
        <v>2688.41</v>
      </c>
      <c r="G67" s="1717">
        <f>F67/F56-1</f>
        <v>-2.157092528969895E-2</v>
      </c>
      <c r="H67" s="1720">
        <f>(B67*6/(F67-D67))</f>
        <v>4831.877559767815</v>
      </c>
      <c r="I67" s="1761">
        <f>H56+H67</f>
        <v>9156.3564797984</v>
      </c>
      <c r="J67" s="1705"/>
      <c r="K67" s="1705"/>
      <c r="L67" s="1705"/>
    </row>
    <row r="68" spans="1:12" s="1704" customFormat="1" ht="21.75" hidden="1" customHeight="1">
      <c r="A68" s="1718" t="s">
        <v>352</v>
      </c>
      <c r="B68" s="1719"/>
      <c r="C68" s="1717"/>
      <c r="D68" s="1719"/>
      <c r="E68" s="1717"/>
      <c r="F68" s="1719">
        <v>422.2</v>
      </c>
      <c r="G68" s="1717">
        <f>F68/F57-1</f>
        <v>-3.4485912916209283E-2</v>
      </c>
      <c r="H68" s="1720"/>
      <c r="I68" s="1720"/>
      <c r="J68" s="1705"/>
      <c r="K68" s="1705"/>
      <c r="L68" s="1705"/>
    </row>
    <row r="69" spans="1:12" s="1704" customFormat="1" ht="21.75" hidden="1" customHeight="1">
      <c r="A69" s="1721"/>
      <c r="B69" s="1722"/>
      <c r="C69" s="1760"/>
      <c r="D69" s="1722"/>
      <c r="E69" s="1760"/>
      <c r="F69" s="1722"/>
      <c r="G69" s="1760"/>
      <c r="H69" s="1724"/>
      <c r="J69" s="1705"/>
      <c r="K69" s="1705"/>
      <c r="L69" s="1705"/>
    </row>
    <row r="70" spans="1:12" hidden="1">
      <c r="A70" s="1700" t="s">
        <v>1206</v>
      </c>
      <c r="B70" s="1701"/>
      <c r="C70" s="1702"/>
      <c r="D70" s="1701"/>
      <c r="E70" s="1701"/>
      <c r="F70" s="1703"/>
      <c r="G70" s="1701"/>
    </row>
    <row r="71" spans="1:12" ht="18.75" hidden="1" customHeight="1">
      <c r="A71" s="2031" t="s">
        <v>1086</v>
      </c>
      <c r="B71" s="1706" t="s">
        <v>1087</v>
      </c>
      <c r="C71" s="1707"/>
      <c r="D71" s="1706"/>
      <c r="E71" s="1706"/>
      <c r="F71" s="1706" t="s">
        <v>1088</v>
      </c>
      <c r="G71" s="1706"/>
      <c r="H71" s="2031" t="s">
        <v>1146</v>
      </c>
    </row>
    <row r="72" spans="1:12" ht="66" hidden="1">
      <c r="A72" s="2036"/>
      <c r="B72" s="1709" t="s">
        <v>243</v>
      </c>
      <c r="C72" s="1710" t="s">
        <v>1089</v>
      </c>
      <c r="D72" s="1709" t="s">
        <v>288</v>
      </c>
      <c r="E72" s="1711" t="s">
        <v>1089</v>
      </c>
      <c r="F72" s="1712" t="s">
        <v>245</v>
      </c>
      <c r="G72" s="1711" t="s">
        <v>1089</v>
      </c>
      <c r="H72" s="2035"/>
    </row>
    <row r="73" spans="1:12" ht="15.6" hidden="1">
      <c r="A73" s="2036"/>
      <c r="B73" s="1713" t="s">
        <v>1090</v>
      </c>
      <c r="C73" s="1714" t="s">
        <v>32</v>
      </c>
      <c r="D73" s="1713" t="s">
        <v>1091</v>
      </c>
      <c r="E73" s="1715" t="s">
        <v>32</v>
      </c>
      <c r="F73" s="1712"/>
      <c r="G73" s="1758"/>
      <c r="H73" s="1759" t="s">
        <v>1118</v>
      </c>
    </row>
    <row r="74" spans="1:12" hidden="1">
      <c r="A74" s="2035"/>
      <c r="B74" s="1712" t="s">
        <v>44</v>
      </c>
      <c r="C74" s="1714"/>
      <c r="D74" s="1712" t="s">
        <v>249</v>
      </c>
      <c r="E74" s="1715"/>
      <c r="F74" s="1712" t="s">
        <v>249</v>
      </c>
      <c r="G74" s="1715" t="s">
        <v>32</v>
      </c>
      <c r="H74" s="1712" t="s">
        <v>1092</v>
      </c>
    </row>
    <row r="75" spans="1:12" hidden="1">
      <c r="A75" s="1718" t="s">
        <v>226</v>
      </c>
      <c r="B75" s="1719">
        <v>397387.35</v>
      </c>
      <c r="C75" s="1717">
        <f>B75/B64-1</f>
        <v>0</v>
      </c>
      <c r="D75" s="1719">
        <v>158.29</v>
      </c>
      <c r="E75" s="1717">
        <f>D75/D64-1</f>
        <v>0</v>
      </c>
      <c r="F75" s="1719">
        <v>690.41</v>
      </c>
      <c r="G75" s="1717">
        <f>F75/F64-1</f>
        <v>0</v>
      </c>
      <c r="H75" s="1720">
        <f>(B75*6/(F75-D75))</f>
        <v>4480.8015109373819</v>
      </c>
    </row>
    <row r="76" spans="1:12" hidden="1">
      <c r="A76" s="1718" t="s">
        <v>211</v>
      </c>
      <c r="B76" s="1719">
        <v>740597.33</v>
      </c>
      <c r="C76" s="1717">
        <f>B76/B65-1</f>
        <v>0</v>
      </c>
      <c r="D76" s="1719">
        <v>168.14</v>
      </c>
      <c r="E76" s="1717">
        <f>D76/D65-1</f>
        <v>0</v>
      </c>
      <c r="F76" s="1719">
        <v>1174.03</v>
      </c>
      <c r="G76" s="1717">
        <f>F76/F65-1</f>
        <v>0</v>
      </c>
      <c r="H76" s="1720">
        <f>(B76*6/(F76-D76))</f>
        <v>4417.5645249480558</v>
      </c>
    </row>
    <row r="77" spans="1:12" hidden="1">
      <c r="A77" s="1718" t="s">
        <v>253</v>
      </c>
      <c r="B77" s="1719">
        <v>1021368.45</v>
      </c>
      <c r="C77" s="1717">
        <f>B77/B66-1</f>
        <v>0</v>
      </c>
      <c r="D77" s="1719">
        <v>432.48</v>
      </c>
      <c r="E77" s="1717">
        <f>D77/D66-1</f>
        <v>0</v>
      </c>
      <c r="F77" s="1719">
        <v>1817.25</v>
      </c>
      <c r="G77" s="1717">
        <f>F77/F66-1</f>
        <v>0</v>
      </c>
      <c r="H77" s="1720">
        <f>(B77*6/(F77-D77))</f>
        <v>4425.4357763383086</v>
      </c>
    </row>
    <row r="78" spans="1:12" hidden="1">
      <c r="A78" s="1718" t="s">
        <v>215</v>
      </c>
      <c r="B78" s="1719">
        <v>1766107.62</v>
      </c>
      <c r="C78" s="1717">
        <f>B78/B67-1</f>
        <v>0</v>
      </c>
      <c r="D78" s="1719">
        <v>495.34</v>
      </c>
      <c r="E78" s="1717">
        <f>D78/D67-1</f>
        <v>0</v>
      </c>
      <c r="F78" s="1719">
        <v>2688.41</v>
      </c>
      <c r="G78" s="1717">
        <f>F78/F67-1</f>
        <v>0</v>
      </c>
      <c r="H78" s="1720">
        <f>(B78*6/(F78-D78))</f>
        <v>4831.877559767815</v>
      </c>
    </row>
    <row r="79" spans="1:12" ht="27" hidden="1">
      <c r="A79" s="1718" t="s">
        <v>352</v>
      </c>
      <c r="B79" s="1719"/>
      <c r="C79" s="1717"/>
      <c r="D79" s="1719"/>
      <c r="E79" s="1717"/>
      <c r="F79" s="1719">
        <v>422.2</v>
      </c>
      <c r="G79" s="1717">
        <f>F79/F68-1</f>
        <v>0</v>
      </c>
      <c r="H79" s="1720"/>
    </row>
    <row r="80" spans="1:12" hidden="1"/>
    <row r="81" spans="1:9" hidden="1">
      <c r="A81" s="1700" t="s">
        <v>1207</v>
      </c>
      <c r="B81" s="1701"/>
      <c r="C81" s="1702"/>
      <c r="D81" s="1701"/>
      <c r="E81" s="1701"/>
      <c r="F81" s="1703"/>
      <c r="G81" s="1701"/>
    </row>
    <row r="82" spans="1:9" ht="18.75" hidden="1" customHeight="1">
      <c r="A82" s="2031" t="s">
        <v>1086</v>
      </c>
      <c r="B82" s="1706" t="s">
        <v>1087</v>
      </c>
      <c r="C82" s="1707"/>
      <c r="D82" s="1706"/>
      <c r="E82" s="1706"/>
      <c r="F82" s="1706" t="s">
        <v>1088</v>
      </c>
      <c r="G82" s="1706"/>
      <c r="H82" s="2031" t="s">
        <v>1147</v>
      </c>
      <c r="I82" s="2031" t="s">
        <v>241</v>
      </c>
    </row>
    <row r="83" spans="1:9" ht="66" hidden="1">
      <c r="A83" s="2036"/>
      <c r="B83" s="1709" t="s">
        <v>243</v>
      </c>
      <c r="C83" s="1710" t="s">
        <v>1089</v>
      </c>
      <c r="D83" s="1709" t="s">
        <v>288</v>
      </c>
      <c r="E83" s="1711" t="s">
        <v>1089</v>
      </c>
      <c r="F83" s="1712" t="s">
        <v>245</v>
      </c>
      <c r="G83" s="1711" t="s">
        <v>1089</v>
      </c>
      <c r="H83" s="2035"/>
      <c r="I83" s="2035"/>
    </row>
    <row r="84" spans="1:9" ht="15.6" hidden="1">
      <c r="A84" s="2036"/>
      <c r="B84" s="1713" t="s">
        <v>1090</v>
      </c>
      <c r="C84" s="1714" t="s">
        <v>32</v>
      </c>
      <c r="D84" s="1713" t="s">
        <v>1091</v>
      </c>
      <c r="E84" s="1715" t="s">
        <v>32</v>
      </c>
      <c r="F84" s="1712"/>
      <c r="G84" s="1758"/>
      <c r="H84" s="1759" t="s">
        <v>1118</v>
      </c>
      <c r="I84" s="1759" t="s">
        <v>1118</v>
      </c>
    </row>
    <row r="85" spans="1:9" hidden="1">
      <c r="A85" s="2035"/>
      <c r="B85" s="1712" t="s">
        <v>44</v>
      </c>
      <c r="C85" s="1714"/>
      <c r="D85" s="1712" t="s">
        <v>249</v>
      </c>
      <c r="E85" s="1715"/>
      <c r="F85" s="1712" t="s">
        <v>249</v>
      </c>
      <c r="G85" s="1715" t="s">
        <v>32</v>
      </c>
      <c r="H85" s="1712" t="s">
        <v>1092</v>
      </c>
      <c r="I85" s="1712" t="s">
        <v>1092</v>
      </c>
    </row>
    <row r="86" spans="1:9" hidden="1">
      <c r="A86" s="1718" t="s">
        <v>226</v>
      </c>
      <c r="B86" s="1719">
        <v>448807.96</v>
      </c>
      <c r="C86" s="1717">
        <f>B86/B75-1</f>
        <v>0.12939669569250256</v>
      </c>
      <c r="D86" s="1719">
        <v>182.92</v>
      </c>
      <c r="E86" s="1717">
        <f>D86/D75-1</f>
        <v>0.15560048013140437</v>
      </c>
      <c r="F86" s="1719">
        <v>779.62</v>
      </c>
      <c r="G86" s="1717">
        <f>F86/F75-1</f>
        <v>0.12921307628800283</v>
      </c>
      <c r="H86" s="1720">
        <f>(B86*6/(F86-D86))</f>
        <v>4512.9005530417298</v>
      </c>
      <c r="I86" s="1720">
        <f>H75+H86</f>
        <v>8993.7020639791117</v>
      </c>
    </row>
    <row r="87" spans="1:9" hidden="1">
      <c r="A87" s="1718" t="s">
        <v>211</v>
      </c>
      <c r="B87" s="1719">
        <v>815684.34</v>
      </c>
      <c r="C87" s="1717">
        <f>B87/B76-1</f>
        <v>0.10138709249734945</v>
      </c>
      <c r="D87" s="1719">
        <v>173.48</v>
      </c>
      <c r="E87" s="1717">
        <f>D87/D76-1</f>
        <v>3.1759248245509797E-2</v>
      </c>
      <c r="F87" s="1719">
        <v>1325.68</v>
      </c>
      <c r="G87" s="1717">
        <f>F87/F76-1</f>
        <v>0.12917046412783328</v>
      </c>
      <c r="H87" s="1720">
        <f>(B87*6/(F87-D87))</f>
        <v>4247.618503731991</v>
      </c>
      <c r="I87" s="1720">
        <f>H76+H87</f>
        <v>8665.1830286800468</v>
      </c>
    </row>
    <row r="88" spans="1:9" hidden="1">
      <c r="A88" s="1718" t="s">
        <v>253</v>
      </c>
      <c r="B88" s="1719">
        <v>1123518.33</v>
      </c>
      <c r="C88" s="1717">
        <f>B88/B77-1</f>
        <v>0.10001276228965184</v>
      </c>
      <c r="D88" s="1719">
        <v>480.74</v>
      </c>
      <c r="E88" s="1717">
        <f>D88/D77-1</f>
        <v>0.11158897521272659</v>
      </c>
      <c r="F88" s="1719">
        <v>2041.19</v>
      </c>
      <c r="G88" s="1717">
        <f>F88/F77-1</f>
        <v>0.12323015545467064</v>
      </c>
      <c r="H88" s="1720">
        <f>(B88*6/(F88-D88))</f>
        <v>4319.9781985965592</v>
      </c>
      <c r="I88" s="1720">
        <f>H77+H88</f>
        <v>8745.4139749348687</v>
      </c>
    </row>
    <row r="89" spans="1:9" hidden="1">
      <c r="A89" s="1718" t="s">
        <v>215</v>
      </c>
      <c r="B89" s="1719">
        <v>1832395.98</v>
      </c>
      <c r="C89" s="1717">
        <f>B89/B78-1</f>
        <v>3.7533590393545646E-2</v>
      </c>
      <c r="D89" s="1719">
        <v>509.65</v>
      </c>
      <c r="E89" s="1717">
        <f>D89/D78-1</f>
        <v>2.8889247789397166E-2</v>
      </c>
      <c r="F89" s="1719">
        <v>3019.54</v>
      </c>
      <c r="G89" s="1717">
        <f>F89/F78-1</f>
        <v>0.12316945703966287</v>
      </c>
      <c r="H89" s="1720">
        <f>(B89*6/(F89-D89))</f>
        <v>4380.4214049221282</v>
      </c>
      <c r="I89" s="1761">
        <f>H78+H89</f>
        <v>9212.2989646899441</v>
      </c>
    </row>
    <row r="90" spans="1:9" ht="27" hidden="1">
      <c r="A90" s="1718" t="s">
        <v>352</v>
      </c>
      <c r="B90" s="1719"/>
      <c r="C90" s="1717"/>
      <c r="D90" s="1719"/>
      <c r="E90" s="1717"/>
      <c r="F90" s="1719">
        <v>632.74</v>
      </c>
      <c r="G90" s="1717">
        <f>F90/F79-1</f>
        <v>0.49867361440075797</v>
      </c>
      <c r="H90" s="1720"/>
      <c r="I90" s="1720"/>
    </row>
    <row r="91" spans="1:9" hidden="1"/>
    <row r="92" spans="1:9" hidden="1">
      <c r="A92" s="1700" t="s">
        <v>1101</v>
      </c>
      <c r="B92" s="1701"/>
      <c r="C92" s="1702"/>
      <c r="D92" s="1701"/>
      <c r="E92" s="1701"/>
      <c r="F92" s="1703"/>
      <c r="G92" s="1701"/>
    </row>
    <row r="93" spans="1:9" ht="18.75" hidden="1" customHeight="1">
      <c r="A93" s="2031" t="s">
        <v>1086</v>
      </c>
      <c r="B93" s="1706" t="s">
        <v>1087</v>
      </c>
      <c r="C93" s="1707"/>
      <c r="D93" s="1706"/>
      <c r="E93" s="1706"/>
      <c r="F93" s="1706" t="s">
        <v>1088</v>
      </c>
      <c r="G93" s="1706"/>
      <c r="H93" s="2031" t="s">
        <v>241</v>
      </c>
    </row>
    <row r="94" spans="1:9" ht="66" hidden="1">
      <c r="A94" s="2036"/>
      <c r="B94" s="1709" t="s">
        <v>243</v>
      </c>
      <c r="C94" s="1710" t="s">
        <v>1089</v>
      </c>
      <c r="D94" s="1709" t="s">
        <v>288</v>
      </c>
      <c r="E94" s="1711" t="s">
        <v>1089</v>
      </c>
      <c r="F94" s="1712" t="s">
        <v>245</v>
      </c>
      <c r="G94" s="1711" t="s">
        <v>1089</v>
      </c>
      <c r="H94" s="2035"/>
    </row>
    <row r="95" spans="1:9" ht="15.6" hidden="1">
      <c r="A95" s="2036"/>
      <c r="B95" s="1713" t="s">
        <v>1090</v>
      </c>
      <c r="C95" s="1714" t="s">
        <v>32</v>
      </c>
      <c r="D95" s="1713" t="s">
        <v>1091</v>
      </c>
      <c r="E95" s="1715" t="s">
        <v>32</v>
      </c>
      <c r="F95" s="1712"/>
      <c r="G95" s="1758"/>
      <c r="H95" s="1759" t="s">
        <v>1118</v>
      </c>
    </row>
    <row r="96" spans="1:9" hidden="1">
      <c r="A96" s="2035"/>
      <c r="B96" s="1712" t="s">
        <v>44</v>
      </c>
      <c r="C96" s="1714"/>
      <c r="D96" s="1712" t="s">
        <v>249</v>
      </c>
      <c r="E96" s="1715"/>
      <c r="F96" s="1712" t="s">
        <v>249</v>
      </c>
      <c r="G96" s="1715" t="s">
        <v>32</v>
      </c>
      <c r="H96" s="1712" t="s">
        <v>1092</v>
      </c>
    </row>
    <row r="97" spans="1:8" hidden="1">
      <c r="A97" s="1718" t="s">
        <v>226</v>
      </c>
      <c r="B97" s="1719">
        <v>556235.52000000002</v>
      </c>
      <c r="C97" s="1717">
        <f>B97/B86-1</f>
        <v>0.23936197566549389</v>
      </c>
      <c r="D97" s="1719">
        <v>233.02</v>
      </c>
      <c r="E97" s="1717">
        <f>D97/D75-1</f>
        <v>0.47210815591635624</v>
      </c>
      <c r="F97" s="1719">
        <v>1026.03</v>
      </c>
      <c r="G97" s="1717">
        <f>F97/F75-1</f>
        <v>0.48611694500369351</v>
      </c>
      <c r="H97" s="1720">
        <f>(B97*12/(F97-D97))</f>
        <v>8417.0770103781797</v>
      </c>
    </row>
    <row r="98" spans="1:8" hidden="1">
      <c r="A98" s="1718" t="s">
        <v>211</v>
      </c>
      <c r="B98" s="1719">
        <v>1016086.23</v>
      </c>
      <c r="C98" s="1717">
        <f>B98/B76-1</f>
        <v>0.37198203239539085</v>
      </c>
      <c r="D98" s="1719">
        <v>249.17</v>
      </c>
      <c r="E98" s="1717">
        <f>D98/D76-1</f>
        <v>0.48191982871416683</v>
      </c>
      <c r="F98" s="1719">
        <v>1721.28</v>
      </c>
      <c r="G98" s="1717">
        <f>F98/F76-1</f>
        <v>0.46612948561791434</v>
      </c>
      <c r="H98" s="1720">
        <f>(B98*12/(F98-D98))</f>
        <v>8282.69270638743</v>
      </c>
    </row>
    <row r="99" spans="1:8" hidden="1">
      <c r="A99" s="1718" t="s">
        <v>253</v>
      </c>
      <c r="B99" s="1719">
        <v>1443155.57</v>
      </c>
      <c r="C99" s="1717">
        <f>B99/B77-1</f>
        <v>0.41296274620583806</v>
      </c>
      <c r="D99" s="1719">
        <v>600.1</v>
      </c>
      <c r="E99" s="1717">
        <f>D99/D77-1</f>
        <v>0.38757861635220126</v>
      </c>
      <c r="F99" s="1719">
        <v>2789.99</v>
      </c>
      <c r="G99" s="1717">
        <f>F99/F77-1</f>
        <v>0.53528133168248715</v>
      </c>
      <c r="H99" s="1720">
        <f>(B99*12/(F99-D99))</f>
        <v>7908.0989638748979</v>
      </c>
    </row>
    <row r="100" spans="1:8" hidden="1">
      <c r="A100" s="1718" t="s">
        <v>215</v>
      </c>
      <c r="B100" s="1719">
        <v>2624875.9300000002</v>
      </c>
      <c r="C100" s="1717">
        <f>B100/B78-1</f>
        <v>0.48624913922289736</v>
      </c>
      <c r="D100" s="1719">
        <v>684.4</v>
      </c>
      <c r="E100" s="1717">
        <f>D100/D78-1</f>
        <v>0.3816772318003796</v>
      </c>
      <c r="F100" s="1719">
        <v>4322.84</v>
      </c>
      <c r="G100" s="1717">
        <f>F100/F78-1</f>
        <v>0.60795414389918223</v>
      </c>
      <c r="H100" s="1720">
        <f>(B100*12/(F100-D100))</f>
        <v>8657.1473378700775</v>
      </c>
    </row>
    <row r="101" spans="1:8" ht="27" hidden="1">
      <c r="A101" s="1718" t="s">
        <v>352</v>
      </c>
      <c r="B101" s="1719">
        <v>28996.04</v>
      </c>
      <c r="C101" s="1717" t="e">
        <f>B101/B79-1</f>
        <v>#DIV/0!</v>
      </c>
      <c r="D101" s="1719">
        <v>273.31</v>
      </c>
      <c r="E101" s="1717" t="e">
        <f>D101/D79-1</f>
        <v>#DIV/0!</v>
      </c>
      <c r="F101" s="1719">
        <v>335.61</v>
      </c>
      <c r="G101" s="1717">
        <f>F101/F79-1</f>
        <v>-0.20509237328280427</v>
      </c>
      <c r="H101" s="1720">
        <f>(B101*12/(F101-D101))</f>
        <v>5585.1120385232734</v>
      </c>
    </row>
    <row r="102" spans="1:8" hidden="1"/>
    <row r="104" spans="1:8">
      <c r="A104" s="1700" t="s">
        <v>1286</v>
      </c>
      <c r="B104" s="1701"/>
      <c r="C104" s="1702"/>
      <c r="D104" s="1701"/>
      <c r="E104" s="1701"/>
      <c r="F104" s="1703"/>
      <c r="G104" s="1701"/>
    </row>
    <row r="105" spans="1:8" ht="18.75" customHeight="1">
      <c r="A105" s="2031" t="s">
        <v>1086</v>
      </c>
      <c r="B105" s="1706" t="s">
        <v>1087</v>
      </c>
      <c r="C105" s="1707"/>
      <c r="D105" s="1706"/>
      <c r="E105" s="1706"/>
      <c r="F105" s="1706" t="s">
        <v>1088</v>
      </c>
      <c r="G105" s="1706"/>
      <c r="H105" s="2031" t="s">
        <v>241</v>
      </c>
    </row>
    <row r="106" spans="1:8" ht="66">
      <c r="A106" s="2036"/>
      <c r="B106" s="1709" t="s">
        <v>243</v>
      </c>
      <c r="C106" s="1710" t="s">
        <v>1089</v>
      </c>
      <c r="D106" s="1709" t="s">
        <v>288</v>
      </c>
      <c r="E106" s="1711" t="s">
        <v>1089</v>
      </c>
      <c r="F106" s="1712" t="s">
        <v>245</v>
      </c>
      <c r="G106" s="1711" t="s">
        <v>1089</v>
      </c>
      <c r="H106" s="2035"/>
    </row>
    <row r="107" spans="1:8" ht="15.6">
      <c r="A107" s="2036"/>
      <c r="B107" s="1713" t="s">
        <v>1090</v>
      </c>
      <c r="C107" s="1714" t="s">
        <v>32</v>
      </c>
      <c r="D107" s="1713" t="s">
        <v>1091</v>
      </c>
      <c r="E107" s="1715" t="s">
        <v>32</v>
      </c>
      <c r="F107" s="1712"/>
      <c r="G107" s="1758"/>
      <c r="H107" s="1759" t="s">
        <v>1118</v>
      </c>
    </row>
    <row r="108" spans="1:8">
      <c r="A108" s="2035"/>
      <c r="B108" s="1712" t="s">
        <v>44</v>
      </c>
      <c r="C108" s="1714"/>
      <c r="D108" s="1712" t="s">
        <v>249</v>
      </c>
      <c r="E108" s="1715"/>
      <c r="F108" s="1712" t="s">
        <v>249</v>
      </c>
      <c r="G108" s="1715" t="s">
        <v>32</v>
      </c>
      <c r="H108" s="1712" t="s">
        <v>1092</v>
      </c>
    </row>
    <row r="109" spans="1:8">
      <c r="A109" s="1718" t="s">
        <v>226</v>
      </c>
      <c r="B109" s="1719">
        <v>446315.56</v>
      </c>
      <c r="C109" s="1717">
        <f>B109/B97-1</f>
        <v>-0.19761406103659118</v>
      </c>
      <c r="D109" s="1719">
        <v>182.68</v>
      </c>
      <c r="E109" s="1717">
        <f>D109/D97-1</f>
        <v>-0.21603295854433091</v>
      </c>
      <c r="F109" s="1719">
        <v>783.69</v>
      </c>
      <c r="G109" s="1717">
        <f>F109/F97-1</f>
        <v>-0.23619192421274227</v>
      </c>
      <c r="H109" s="1720">
        <f>(B109*12/(F109-D109))</f>
        <v>8911.3104940017638</v>
      </c>
    </row>
    <row r="110" spans="1:8">
      <c r="A110" s="1718" t="s">
        <v>211</v>
      </c>
      <c r="B110" s="1719">
        <v>847448.2</v>
      </c>
      <c r="C110" s="1717">
        <f>B110/B98-1</f>
        <v>-0.1659682269289291</v>
      </c>
      <c r="D110" s="1719">
        <v>189.4</v>
      </c>
      <c r="E110" s="1717">
        <f>D110/D98-1</f>
        <v>-0.23987638961351676</v>
      </c>
      <c r="F110" s="1719">
        <v>1348.38</v>
      </c>
      <c r="G110" s="1717">
        <f>F110/F98-1</f>
        <v>-0.21664110429447847</v>
      </c>
      <c r="H110" s="1720">
        <f>(B110*12/(F110-D110))</f>
        <v>8774.4209563581753</v>
      </c>
    </row>
    <row r="111" spans="1:8">
      <c r="A111" s="1718" t="s">
        <v>253</v>
      </c>
      <c r="B111" s="1719">
        <v>1156955</v>
      </c>
      <c r="C111" s="1717">
        <f>B111/B99-1</f>
        <v>-0.1983158128960415</v>
      </c>
      <c r="D111" s="1719">
        <v>482.36</v>
      </c>
      <c r="E111" s="1717">
        <f>D111/D99-1</f>
        <v>-0.19620063322779535</v>
      </c>
      <c r="F111" s="1719">
        <v>2064.62</v>
      </c>
      <c r="G111" s="1717">
        <f>F111/F99-1</f>
        <v>-0.25999017917626943</v>
      </c>
      <c r="H111" s="1720">
        <f>(B111*12/(F111-D111))</f>
        <v>8774.4492055667215</v>
      </c>
    </row>
    <row r="112" spans="1:8">
      <c r="A112" s="1718" t="s">
        <v>215</v>
      </c>
      <c r="B112" s="1719">
        <v>1853656.95</v>
      </c>
      <c r="C112" s="1717">
        <f>B112/B100-1</f>
        <v>-0.29381159360168319</v>
      </c>
      <c r="D112" s="1719">
        <v>519.70000000000005</v>
      </c>
      <c r="E112" s="1717">
        <f>D112/D100-1</f>
        <v>-0.24064874342489762</v>
      </c>
      <c r="F112" s="1719">
        <v>3054.78</v>
      </c>
      <c r="G112" s="1717">
        <f>F112/F100-1</f>
        <v>-0.29333956380527615</v>
      </c>
      <c r="H112" s="1720">
        <f>(B112*12/(F112-D112))</f>
        <v>8774.4305505151715</v>
      </c>
    </row>
    <row r="113" spans="1:8" ht="27">
      <c r="A113" s="1718" t="s">
        <v>352</v>
      </c>
      <c r="B113" s="1719"/>
      <c r="C113" s="1717"/>
      <c r="D113" s="1719"/>
      <c r="E113" s="1717"/>
      <c r="F113" s="1719"/>
      <c r="G113" s="1717"/>
      <c r="H113" s="1720"/>
    </row>
    <row r="115" spans="1:8">
      <c r="A115" s="1700" t="s">
        <v>1287</v>
      </c>
      <c r="B115" s="1701"/>
      <c r="C115" s="1702"/>
      <c r="D115" s="1701"/>
      <c r="E115" s="1701"/>
      <c r="F115" s="1703"/>
      <c r="G115" s="1701"/>
    </row>
    <row r="116" spans="1:8" ht="18.75" customHeight="1">
      <c r="A116" s="2031" t="s">
        <v>1086</v>
      </c>
      <c r="B116" s="1706" t="s">
        <v>1087</v>
      </c>
      <c r="C116" s="1707"/>
      <c r="D116" s="1706"/>
      <c r="E116" s="1706"/>
      <c r="F116" s="1706" t="s">
        <v>1088</v>
      </c>
      <c r="G116" s="1706"/>
      <c r="H116" s="2031" t="s">
        <v>241</v>
      </c>
    </row>
    <row r="117" spans="1:8" ht="66">
      <c r="A117" s="2036"/>
      <c r="B117" s="1709" t="s">
        <v>243</v>
      </c>
      <c r="C117" s="1710" t="s">
        <v>1089</v>
      </c>
      <c r="D117" s="1709" t="s">
        <v>288</v>
      </c>
      <c r="E117" s="1711" t="s">
        <v>1089</v>
      </c>
      <c r="F117" s="1712" t="s">
        <v>245</v>
      </c>
      <c r="G117" s="1711" t="s">
        <v>1089</v>
      </c>
      <c r="H117" s="2035"/>
    </row>
    <row r="118" spans="1:8" ht="15.6">
      <c r="A118" s="2036"/>
      <c r="B118" s="1713" t="s">
        <v>1090</v>
      </c>
      <c r="C118" s="1714" t="s">
        <v>32</v>
      </c>
      <c r="D118" s="1713" t="s">
        <v>1091</v>
      </c>
      <c r="E118" s="1715" t="s">
        <v>32</v>
      </c>
      <c r="F118" s="1712"/>
      <c r="G118" s="1758"/>
      <c r="H118" s="1759" t="s">
        <v>1118</v>
      </c>
    </row>
    <row r="119" spans="1:8">
      <c r="A119" s="2035"/>
      <c r="B119" s="1712" t="s">
        <v>44</v>
      </c>
      <c r="C119" s="1714"/>
      <c r="D119" s="1712" t="s">
        <v>249</v>
      </c>
      <c r="E119" s="1715"/>
      <c r="F119" s="1712" t="s">
        <v>249</v>
      </c>
      <c r="G119" s="1715" t="s">
        <v>32</v>
      </c>
      <c r="H119" s="1712" t="s">
        <v>1092</v>
      </c>
    </row>
    <row r="120" spans="1:8">
      <c r="A120" s="1718" t="s">
        <v>226</v>
      </c>
      <c r="B120" s="1719">
        <v>696788.79</v>
      </c>
      <c r="C120" s="1717">
        <f>B120/B109-1</f>
        <v>0.56120210104258983</v>
      </c>
      <c r="D120" s="1719">
        <v>93.89</v>
      </c>
      <c r="E120" s="1717">
        <f>D120/D109-1</f>
        <v>-0.48604116487847604</v>
      </c>
      <c r="F120" s="1719">
        <v>1048.4000000000001</v>
      </c>
      <c r="G120" s="1717">
        <f>F120/F109-1</f>
        <v>0.33777386466587567</v>
      </c>
      <c r="H120" s="1720">
        <f>(B120*12/(F120-D120))</f>
        <v>8759.9558726466985</v>
      </c>
    </row>
    <row r="121" spans="1:8">
      <c r="A121" s="1718" t="s">
        <v>211</v>
      </c>
      <c r="B121" s="1719">
        <v>1170896.3600000001</v>
      </c>
      <c r="C121" s="1717">
        <f>B121/B110-1</f>
        <v>0.3816730745312813</v>
      </c>
      <c r="D121" s="1719">
        <v>198.82</v>
      </c>
      <c r="E121" s="1717">
        <f>D121/D110-1</f>
        <v>4.9736008447729629E-2</v>
      </c>
      <c r="F121" s="1719">
        <v>1802.78</v>
      </c>
      <c r="G121" s="1717">
        <f>F121/F110-1</f>
        <v>0.33699698897936781</v>
      </c>
      <c r="H121" s="1720">
        <f>(B121*12/(F121-D121))</f>
        <v>8760.0415970473077</v>
      </c>
    </row>
    <row r="122" spans="1:8">
      <c r="A122" s="1718" t="s">
        <v>253</v>
      </c>
      <c r="B122" s="1719">
        <v>1821035.14</v>
      </c>
      <c r="C122" s="1717">
        <f>B122/B111-1</f>
        <v>0.57398960201563587</v>
      </c>
      <c r="D122" s="1719">
        <v>261.7</v>
      </c>
      <c r="E122" s="1717">
        <f>D122/D111-1</f>
        <v>-0.45745915913425661</v>
      </c>
      <c r="F122" s="1719">
        <v>2756.27</v>
      </c>
      <c r="G122" s="1717">
        <f>F122/F111-1</f>
        <v>0.33500111400645172</v>
      </c>
      <c r="H122" s="1720">
        <f>(B122*12/(F122-D122))</f>
        <v>8759.9953819696366</v>
      </c>
    </row>
    <row r="123" spans="1:8">
      <c r="A123" s="1718" t="s">
        <v>215</v>
      </c>
      <c r="B123" s="1719">
        <v>2450996.14</v>
      </c>
      <c r="C123" s="1717">
        <f>B123/B112-1</f>
        <v>0.32224904937237731</v>
      </c>
      <c r="D123" s="1719">
        <v>714.49</v>
      </c>
      <c r="E123" s="1717">
        <f>D123/D112-1</f>
        <v>0.37481239176447945</v>
      </c>
      <c r="F123" s="1719">
        <v>4072.02</v>
      </c>
      <c r="G123" s="1717">
        <f>F123/F112-1</f>
        <v>0.33299943040087987</v>
      </c>
      <c r="H123" s="1720">
        <f>(B123*12/(F123-D123))</f>
        <v>8759.9972837174955</v>
      </c>
    </row>
    <row r="124" spans="1:8" ht="27">
      <c r="A124" s="1718" t="s">
        <v>352</v>
      </c>
      <c r="B124" s="1719"/>
      <c r="C124" s="1717"/>
      <c r="D124" s="1719"/>
      <c r="E124" s="1717"/>
      <c r="F124" s="1719"/>
      <c r="G124" s="1717"/>
      <c r="H124" s="1720"/>
    </row>
  </sheetData>
  <mergeCells count="24">
    <mergeCell ref="A93:A96"/>
    <mergeCell ref="H93:H94"/>
    <mergeCell ref="A105:A108"/>
    <mergeCell ref="H105:H106"/>
    <mergeCell ref="A116:A119"/>
    <mergeCell ref="H116:H117"/>
    <mergeCell ref="I60:I61"/>
    <mergeCell ref="A71:A74"/>
    <mergeCell ref="H71:H72"/>
    <mergeCell ref="A82:A85"/>
    <mergeCell ref="H82:H83"/>
    <mergeCell ref="I82:I83"/>
    <mergeCell ref="A38:A41"/>
    <mergeCell ref="H38:H39"/>
    <mergeCell ref="A49:A52"/>
    <mergeCell ref="H49:H50"/>
    <mergeCell ref="A60:A63"/>
    <mergeCell ref="H60:H61"/>
    <mergeCell ref="A5:A8"/>
    <mergeCell ref="H5:H6"/>
    <mergeCell ref="A16:A19"/>
    <mergeCell ref="H16:H17"/>
    <mergeCell ref="A27:A30"/>
    <mergeCell ref="H27:H2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39</vt:i4>
      </vt:variant>
      <vt:variant>
        <vt:lpstr>Именованные диапазоны</vt:lpstr>
      </vt:variant>
      <vt:variant>
        <vt:i4>8</vt:i4>
      </vt:variant>
    </vt:vector>
  </HeadingPairs>
  <TitlesOfParts>
    <vt:vector size="47" baseType="lpstr">
      <vt:lpstr>П 1.13 2016 расчет </vt:lpstr>
      <vt:lpstr>Выпад.дох.за 2015г.в тар.2017</vt:lpstr>
      <vt:lpstr>П.2.1.</vt:lpstr>
      <vt:lpstr>П.2.2.</vt:lpstr>
      <vt:lpstr>Баланс электрической энергии</vt:lpstr>
      <vt:lpstr>Баланс электрической мощности</vt:lpstr>
      <vt:lpstr>НВВ на содержание 2012г.</vt:lpstr>
      <vt:lpstr>Реестр всп.мат.2010 пром.+ПСХ</vt:lpstr>
      <vt:lpstr>Реестр вспомог.мат.2011 ПСХ</vt:lpstr>
      <vt:lpstr>Работы и услуги 2011г.</vt:lpstr>
      <vt:lpstr>РСЭО 2012г.</vt:lpstr>
      <vt:lpstr>Распред.приб. на соц.разв.2011</vt:lpstr>
      <vt:lpstr>П 1.17 цех.</vt:lpstr>
      <vt:lpstr>Амортизация цех10г. - 11г.</vt:lpstr>
      <vt:lpstr>П 1.17 ОХР</vt:lpstr>
      <vt:lpstr>1 И 2 ПОЛУГОДИЕ 2012</vt:lpstr>
      <vt:lpstr>2012</vt:lpstr>
      <vt:lpstr>1п-е 2012</vt:lpstr>
      <vt:lpstr>2п-е 2012</vt:lpstr>
      <vt:lpstr>2012 год</vt:lpstr>
      <vt:lpstr>НВВ на содержание</vt:lpstr>
      <vt:lpstr>послед2012г.об.по стр-ре СЭ (2)</vt:lpstr>
      <vt:lpstr>12г.Бал.уточ.Энерг+подсобн.хоз.</vt:lpstr>
      <vt:lpstr>Прилож.1-2012г.</vt:lpstr>
      <vt:lpstr>2012 Баланс  </vt:lpstr>
      <vt:lpstr>стр-ра пол.отп. 2012г.июнь</vt:lpstr>
      <vt:lpstr>П1.30 - 07.06.11г.</vt:lpstr>
      <vt:lpstr>С-Э и сет.расч.инд.межсет.2011</vt:lpstr>
      <vt:lpstr>изм.приказ 27 от 28.04.2011</vt:lpstr>
      <vt:lpstr>2012г.об.по стр-ре СЭ</vt:lpstr>
      <vt:lpstr>2012г.об.под факт2010</vt:lpstr>
      <vt:lpstr>пл.об расч.по инд.межсет.та (2)</vt:lpstr>
      <vt:lpstr>пл.об расч.по инд.межсет.тар.11</vt:lpstr>
      <vt:lpstr>УГРКЭ об.конрасч.по инд.межсет.</vt:lpstr>
      <vt:lpstr>Прилож.2 структура 2011г.-2012г</vt:lpstr>
      <vt:lpstr>орг. Корр-ка НВВ 2014г.</vt:lpstr>
      <vt:lpstr>П.2.1. утв.2015</vt:lpstr>
      <vt:lpstr>П.2.2.утв.2015</vt:lpstr>
      <vt:lpstr>1 И 2 ПОЛУГОДИЕ 2012 (2)</vt:lpstr>
      <vt:lpstr>'орг. Корр-ка НВВ 2014г.'!Заголовки_для_печати</vt:lpstr>
      <vt:lpstr>'П1.30 - 07.06.11г.'!Заголовки_для_печати</vt:lpstr>
      <vt:lpstr>'Прилож.2 структура 2011г.-2012г'!Заголовки_для_печати</vt:lpstr>
      <vt:lpstr>'Баланс электрической энергии'!Область_печати</vt:lpstr>
      <vt:lpstr>'Выпад.дох.за 2015г.в тар.2017'!Область_печати</vt:lpstr>
      <vt:lpstr>'НВВ на содержание 2012г.'!Область_печати</vt:lpstr>
      <vt:lpstr>'орг. Корр-ка НВВ 2014г.'!Область_печати</vt:lpstr>
      <vt:lpstr>'Прилож.2 структура 2011г.-2012г'!Область_печати</vt:lpstr>
    </vt:vector>
  </TitlesOfParts>
  <Company>SSPS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</dc:creator>
  <cp:lastModifiedBy>Лесовой Юрий Петрович</cp:lastModifiedBy>
  <cp:lastPrinted>2018-04-16T06:40:42Z</cp:lastPrinted>
  <dcterms:created xsi:type="dcterms:W3CDTF">2004-12-17T04:36:50Z</dcterms:created>
  <dcterms:modified xsi:type="dcterms:W3CDTF">2019-03-01T04:29:31Z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@Дата от">
    <vt:filetime>2019-03-01T07:03:32.0194844Z</vt:filetime>
  </property>
</Properties>
</file>